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gmacan\Desktop\TRANSPARENTNOST\PODLOGE\2024\12-2024\"/>
    </mc:Choice>
  </mc:AlternateContent>
  <xr:revisionPtr revIDLastSave="0" documentId="13_ncr:1_{1EEDE3EF-CE39-43C9-9509-D54285836AAF}" xr6:coauthVersionLast="47" xr6:coauthVersionMax="47" xr10:uidLastSave="{00000000-0000-0000-0000-000000000000}"/>
  <bookViews>
    <workbookView xWindow="20370" yWindow="-120" windowWidth="29040" windowHeight="15840" activeTab="11" xr2:uid="{07C6CC63-B6DB-476E-833A-35E38DA3334D}"/>
  </bookViews>
  <sheets>
    <sheet name="012024" sheetId="1" r:id="rId1"/>
    <sheet name="022024 " sheetId="2" r:id="rId2"/>
    <sheet name="032024 " sheetId="3" r:id="rId3"/>
    <sheet name="042024 " sheetId="4" r:id="rId4"/>
    <sheet name="052024" sheetId="5" r:id="rId5"/>
    <sheet name="062024" sheetId="7" r:id="rId6"/>
    <sheet name="072024" sheetId="8" r:id="rId7"/>
    <sheet name="082024" sheetId="9" r:id="rId8"/>
    <sheet name="092024" sheetId="10" r:id="rId9"/>
    <sheet name="102024" sheetId="12" r:id="rId10"/>
    <sheet name="112024" sheetId="13" r:id="rId11"/>
    <sheet name="122024" sheetId="14" r:id="rId12"/>
  </sheets>
  <definedNames>
    <definedName name="_xlnm._FilterDatabase" localSheetId="0" hidden="1">'012024'!$A$10:$G$298</definedName>
    <definedName name="_xlnm._FilterDatabase" localSheetId="1" hidden="1">'022024 '!$A$10:$G$271</definedName>
    <definedName name="_xlnm._FilterDatabase" localSheetId="2" hidden="1">'032024 '!$A$10:$G$237</definedName>
    <definedName name="_xlnm._FilterDatabase" localSheetId="3" hidden="1">'042024 '!$A$10:$G$264</definedName>
    <definedName name="_xlnm._FilterDatabase" localSheetId="4" hidden="1">'052024'!$A$10:$G$218</definedName>
    <definedName name="_xlnm._FilterDatabase" localSheetId="5" hidden="1">'062024'!$A$10:$G$246</definedName>
    <definedName name="_xlnm._FilterDatabase" localSheetId="6" hidden="1">'072024'!$A$10:$G$258</definedName>
    <definedName name="_xlnm._FilterDatabase" localSheetId="7" hidden="1">'082024'!$A$10:$G$196</definedName>
    <definedName name="_xlnm._FilterDatabase" localSheetId="8" hidden="1">'092024'!$A$10:$G$272</definedName>
    <definedName name="_xlnm._FilterDatabase" localSheetId="9" hidden="1">'102024'!$A$10:$G$10</definedName>
    <definedName name="_xlnm._FilterDatabase" localSheetId="10" hidden="1">'112024'!$A$10:$G$267</definedName>
    <definedName name="_xlnm._FilterDatabase" localSheetId="11" hidden="1">'122024'!$A$10:$G$10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9" i="14" l="1"/>
  <c r="E237" i="14"/>
  <c r="E231" i="14"/>
  <c r="E229" i="14"/>
  <c r="E226" i="14"/>
  <c r="E220" i="14"/>
  <c r="E202" i="14"/>
  <c r="E200" i="14"/>
  <c r="E188" i="14"/>
  <c r="E174" i="14"/>
  <c r="E170" i="14"/>
  <c r="E169" i="14"/>
  <c r="E168" i="14"/>
  <c r="E166" i="14"/>
  <c r="E165" i="14"/>
  <c r="E164" i="14"/>
  <c r="E162" i="14"/>
  <c r="E161" i="14"/>
  <c r="E159" i="14"/>
  <c r="E158" i="14"/>
  <c r="E157" i="14"/>
  <c r="E155" i="14"/>
  <c r="E154" i="14"/>
  <c r="E153" i="14"/>
  <c r="E151" i="14"/>
  <c r="E150" i="14"/>
  <c r="E147" i="14"/>
  <c r="E146" i="14"/>
  <c r="E145" i="14"/>
  <c r="E144" i="14"/>
  <c r="E142" i="14"/>
  <c r="E141" i="14"/>
  <c r="E137" i="14"/>
  <c r="E136" i="14"/>
  <c r="E135" i="14"/>
  <c r="E133" i="14"/>
  <c r="E132" i="14"/>
  <c r="E131" i="14"/>
  <c r="E127" i="14"/>
  <c r="E124" i="14"/>
  <c r="E122" i="14"/>
  <c r="E119" i="14"/>
  <c r="E118" i="14"/>
  <c r="E116" i="14"/>
  <c r="E114" i="14"/>
  <c r="E112" i="14"/>
  <c r="E104" i="14"/>
  <c r="E103" i="14"/>
  <c r="E101" i="14"/>
  <c r="E98" i="14"/>
  <c r="E96" i="14"/>
  <c r="E94" i="14"/>
  <c r="E93" i="14"/>
  <c r="E92" i="14"/>
  <c r="E91" i="14"/>
  <c r="E90" i="14"/>
  <c r="E89" i="14"/>
  <c r="E88" i="14"/>
  <c r="E86" i="14"/>
  <c r="E85" i="14"/>
  <c r="E84" i="14"/>
  <c r="E83" i="14"/>
  <c r="E82" i="14"/>
  <c r="E81" i="14"/>
  <c r="E80" i="14"/>
  <c r="E79" i="14"/>
  <c r="E76" i="14"/>
  <c r="E75" i="14"/>
  <c r="E73" i="14"/>
  <c r="E72" i="14"/>
  <c r="E71" i="14"/>
  <c r="E70" i="14"/>
  <c r="E69" i="14"/>
  <c r="E67" i="14"/>
  <c r="E66" i="14"/>
  <c r="E65" i="14"/>
  <c r="E61" i="14"/>
  <c r="E60" i="14"/>
  <c r="E59" i="14"/>
  <c r="E58" i="14"/>
  <c r="E54" i="14"/>
  <c r="E53" i="14"/>
  <c r="E52" i="14"/>
  <c r="E48" i="14"/>
  <c r="E47" i="14"/>
  <c r="E45" i="14"/>
  <c r="E42" i="14"/>
  <c r="E41" i="14"/>
  <c r="E40" i="14"/>
  <c r="E38" i="14"/>
  <c r="E34" i="14"/>
  <c r="E31" i="14"/>
  <c r="E27" i="14"/>
  <c r="E25" i="14"/>
  <c r="E24" i="14"/>
  <c r="E23" i="14"/>
  <c r="E21" i="14"/>
  <c r="E20" i="14"/>
  <c r="E17" i="14"/>
  <c r="E12" i="14"/>
  <c r="E11" i="14"/>
  <c r="E266" i="13"/>
  <c r="E259" i="13"/>
  <c r="E254" i="13"/>
  <c r="E252" i="13"/>
  <c r="E250" i="13"/>
  <c r="E248" i="13"/>
  <c r="E245" i="13"/>
  <c r="E244" i="13"/>
  <c r="E242" i="13"/>
  <c r="E240" i="13"/>
  <c r="E239" i="13"/>
  <c r="E238" i="13"/>
  <c r="E234" i="13"/>
  <c r="E233" i="13"/>
  <c r="E232" i="13"/>
  <c r="E230" i="13"/>
  <c r="E225" i="13"/>
  <c r="E223" i="13"/>
  <c r="E221" i="13"/>
  <c r="E219" i="13"/>
  <c r="E218" i="13"/>
  <c r="E216" i="13"/>
  <c r="E215" i="13"/>
  <c r="E213" i="13"/>
  <c r="E212" i="13"/>
  <c r="E211" i="13"/>
  <c r="E210" i="13"/>
  <c r="E208" i="13"/>
  <c r="E207" i="13"/>
  <c r="E206" i="13"/>
  <c r="E204" i="13"/>
  <c r="E201" i="13"/>
  <c r="E200" i="13"/>
  <c r="E199" i="13"/>
  <c r="E198" i="13"/>
  <c r="E197" i="13"/>
  <c r="E195" i="13"/>
  <c r="E193" i="13"/>
  <c r="E192" i="13"/>
  <c r="E189" i="13"/>
  <c r="E188" i="13"/>
  <c r="E187" i="13"/>
  <c r="E186" i="13"/>
  <c r="E185" i="13"/>
  <c r="E182" i="13"/>
  <c r="E181" i="13"/>
  <c r="E175" i="13"/>
  <c r="E174" i="13"/>
  <c r="E173" i="13"/>
  <c r="E172" i="13"/>
  <c r="E169" i="13"/>
  <c r="E168" i="13"/>
  <c r="E167" i="13"/>
  <c r="E166" i="13"/>
  <c r="E158" i="13"/>
  <c r="E150" i="13"/>
  <c r="E141" i="13"/>
  <c r="E139" i="13"/>
  <c r="E138" i="13"/>
  <c r="E136" i="13"/>
  <c r="E132" i="13"/>
  <c r="E124" i="13"/>
  <c r="E122" i="13"/>
  <c r="E118" i="13"/>
  <c r="E115" i="13"/>
  <c r="E114" i="13"/>
  <c r="E113" i="13"/>
  <c r="E112" i="13"/>
  <c r="E111" i="13"/>
  <c r="E110" i="13"/>
  <c r="E109" i="13"/>
  <c r="E106" i="13"/>
  <c r="E104" i="13"/>
  <c r="E103" i="13"/>
  <c r="E102" i="13"/>
  <c r="E101" i="13"/>
  <c r="E100" i="13"/>
  <c r="E98" i="13"/>
  <c r="E96" i="13"/>
  <c r="E95" i="13"/>
  <c r="E94" i="13"/>
  <c r="E92" i="13"/>
  <c r="E91" i="13"/>
  <c r="E89" i="13"/>
  <c r="E87" i="13"/>
  <c r="E84" i="13"/>
  <c r="E83" i="13"/>
  <c r="E81" i="13"/>
  <c r="E80" i="13"/>
  <c r="E79" i="13"/>
  <c r="E78" i="13"/>
  <c r="E75" i="13"/>
  <c r="E73" i="13"/>
  <c r="E72" i="13"/>
  <c r="E71" i="13"/>
  <c r="E65" i="13"/>
  <c r="E60" i="13"/>
  <c r="E58" i="13"/>
  <c r="E53" i="13"/>
  <c r="E52" i="13"/>
  <c r="E51" i="13"/>
  <c r="E44" i="13"/>
  <c r="E37" i="13"/>
  <c r="E34" i="13"/>
  <c r="E30" i="13"/>
  <c r="E27" i="13"/>
  <c r="E26" i="13"/>
  <c r="E25" i="13"/>
  <c r="E24" i="13"/>
  <c r="E23" i="13"/>
  <c r="E22" i="13"/>
  <c r="E19" i="13"/>
  <c r="E18" i="13"/>
  <c r="E308" i="12"/>
  <c r="E300" i="12"/>
  <c r="E299" i="12"/>
  <c r="E298" i="12"/>
  <c r="E293" i="12"/>
  <c r="E278" i="12"/>
  <c r="E270" i="12"/>
  <c r="E269" i="12"/>
  <c r="E268" i="12"/>
  <c r="E266" i="12"/>
  <c r="E265" i="12"/>
  <c r="E254" i="12"/>
  <c r="E243" i="12"/>
  <c r="E241" i="12"/>
  <c r="E237" i="12"/>
  <c r="E235" i="12"/>
  <c r="E234" i="12"/>
  <c r="E233" i="12"/>
  <c r="E232" i="12"/>
  <c r="E225" i="12"/>
  <c r="E223" i="12"/>
  <c r="E220" i="12"/>
  <c r="E219" i="12"/>
  <c r="E218" i="12"/>
  <c r="E215" i="12"/>
  <c r="E211" i="12"/>
  <c r="E210" i="12"/>
  <c r="E209" i="12"/>
  <c r="E208" i="12"/>
  <c r="E207" i="12"/>
  <c r="E206" i="12"/>
  <c r="E205" i="12"/>
  <c r="E204" i="12"/>
  <c r="E203" i="12"/>
  <c r="E200" i="12"/>
  <c r="E199" i="12"/>
  <c r="E198" i="12"/>
  <c r="E195" i="12"/>
  <c r="E193" i="12"/>
  <c r="E192" i="12"/>
  <c r="E190" i="12"/>
  <c r="E189" i="12"/>
  <c r="E188" i="12"/>
  <c r="E187" i="12"/>
  <c r="E186" i="12"/>
  <c r="E183" i="12"/>
  <c r="E180" i="12"/>
  <c r="E178" i="12"/>
  <c r="E175" i="12"/>
  <c r="E174" i="12"/>
  <c r="E173" i="12"/>
  <c r="E172" i="12"/>
  <c r="E170" i="12"/>
  <c r="E167" i="12"/>
  <c r="E166" i="12"/>
  <c r="E165" i="12"/>
  <c r="E164" i="12"/>
  <c r="E163" i="12"/>
  <c r="E161" i="12"/>
  <c r="E160" i="12"/>
  <c r="E158" i="12"/>
  <c r="E157" i="12"/>
  <c r="E155" i="12"/>
  <c r="E154" i="12"/>
  <c r="E150" i="12"/>
  <c r="E148" i="12"/>
  <c r="E145" i="12"/>
  <c r="E144" i="12"/>
  <c r="E143" i="12"/>
  <c r="E142" i="12"/>
  <c r="E141" i="12"/>
  <c r="E140" i="12"/>
  <c r="E139" i="12"/>
  <c r="E137" i="12"/>
  <c r="E136" i="12"/>
  <c r="E135" i="12"/>
  <c r="E134" i="12"/>
  <c r="E133" i="12"/>
  <c r="E132" i="12"/>
  <c r="E116" i="12"/>
  <c r="E114" i="12"/>
  <c r="E112" i="12"/>
  <c r="E110" i="12"/>
  <c r="E109" i="12"/>
  <c r="E107" i="12"/>
  <c r="E105" i="12"/>
  <c r="E103" i="12"/>
  <c r="E102" i="12"/>
  <c r="E101" i="12"/>
  <c r="E99" i="12"/>
  <c r="E98" i="12"/>
  <c r="E97" i="12"/>
  <c r="E96" i="12"/>
  <c r="E94" i="12"/>
  <c r="E92" i="12"/>
  <c r="E89" i="12"/>
  <c r="E88" i="12"/>
  <c r="E84" i="12"/>
  <c r="E82" i="12"/>
  <c r="E80" i="12"/>
  <c r="E79" i="12"/>
  <c r="E77" i="12"/>
  <c r="E76" i="12"/>
  <c r="E74" i="12"/>
  <c r="E73" i="12"/>
  <c r="E72" i="12"/>
  <c r="E69" i="12"/>
  <c r="E65" i="12"/>
  <c r="E62" i="12"/>
  <c r="E61" i="12"/>
  <c r="E59" i="12"/>
  <c r="E55" i="12"/>
  <c r="E54" i="12"/>
  <c r="E52" i="12"/>
  <c r="E51" i="12"/>
  <c r="E50" i="12"/>
  <c r="E49" i="12"/>
  <c r="E37" i="12"/>
  <c r="E36" i="12"/>
  <c r="E34" i="12"/>
  <c r="E32" i="12"/>
  <c r="E31" i="12"/>
  <c r="E30" i="12"/>
  <c r="E27" i="12"/>
  <c r="E26" i="12"/>
  <c r="E24" i="12"/>
  <c r="E22" i="12"/>
  <c r="E20" i="12"/>
  <c r="E19" i="12"/>
  <c r="E270" i="10"/>
  <c r="E264" i="10"/>
  <c r="E263" i="10"/>
  <c r="E262" i="10"/>
  <c r="E261" i="10"/>
  <c r="E260" i="10"/>
  <c r="E258" i="10"/>
  <c r="E251" i="10"/>
  <c r="E250" i="10"/>
  <c r="E249" i="10"/>
  <c r="E241" i="10"/>
  <c r="E238" i="10"/>
  <c r="E235" i="10"/>
  <c r="E234" i="10"/>
  <c r="E233" i="10"/>
  <c r="E229" i="10"/>
  <c r="E228" i="10"/>
  <c r="E225" i="10"/>
  <c r="E216" i="10"/>
  <c r="E214" i="10"/>
  <c r="E212" i="10"/>
  <c r="E211" i="10"/>
  <c r="E210" i="10"/>
  <c r="E208" i="10"/>
  <c r="E207" i="10"/>
  <c r="E205" i="10"/>
  <c r="E201" i="10"/>
  <c r="E196" i="10"/>
  <c r="E190" i="10"/>
  <c r="E188" i="10"/>
  <c r="E186" i="10"/>
  <c r="E185" i="10"/>
  <c r="E184" i="10"/>
  <c r="E183" i="10"/>
  <c r="E181" i="10"/>
  <c r="E175" i="10"/>
  <c r="E170" i="10"/>
  <c r="E169" i="10"/>
  <c r="E166" i="10"/>
  <c r="E164" i="10"/>
  <c r="E163" i="10"/>
  <c r="E161" i="10"/>
  <c r="E159" i="10"/>
  <c r="E154" i="10"/>
  <c r="E153" i="10"/>
  <c r="E152" i="10"/>
  <c r="E151" i="10"/>
  <c r="E150" i="10"/>
  <c r="E148" i="10"/>
  <c r="E147" i="10"/>
  <c r="E141" i="10"/>
  <c r="E140" i="10"/>
  <c r="E134" i="10"/>
  <c r="E131" i="10"/>
  <c r="E128" i="10"/>
  <c r="E127" i="10"/>
  <c r="E126" i="10"/>
  <c r="E125" i="10"/>
  <c r="E123" i="10"/>
  <c r="E120" i="10"/>
  <c r="E118" i="10"/>
  <c r="E116" i="10"/>
  <c r="E115" i="10"/>
  <c r="E114" i="10"/>
  <c r="E113" i="10"/>
  <c r="E111" i="10"/>
  <c r="E108" i="10"/>
  <c r="E106" i="10"/>
  <c r="E105" i="10"/>
  <c r="E103" i="10"/>
  <c r="E102" i="10"/>
  <c r="E101" i="10"/>
  <c r="E96" i="10"/>
  <c r="E94" i="10"/>
  <c r="E93" i="10"/>
  <c r="E88" i="10"/>
  <c r="E87" i="10"/>
  <c r="E86" i="10"/>
  <c r="E85" i="10"/>
  <c r="E81" i="10"/>
  <c r="E77" i="10"/>
  <c r="E75" i="10"/>
  <c r="E74" i="10"/>
  <c r="E73" i="10"/>
  <c r="E70" i="10"/>
  <c r="E68" i="10"/>
  <c r="E62" i="10"/>
  <c r="E61" i="10"/>
  <c r="E55" i="10"/>
  <c r="E54" i="10"/>
  <c r="E52" i="10"/>
  <c r="E51" i="10"/>
  <c r="E48" i="10"/>
  <c r="E43" i="10"/>
  <c r="E36" i="10"/>
  <c r="E31" i="10"/>
  <c r="E30" i="10"/>
  <c r="E27" i="10"/>
  <c r="E25" i="10"/>
  <c r="E22" i="10"/>
  <c r="E21" i="10"/>
  <c r="E19" i="10"/>
  <c r="E18" i="10"/>
  <c r="E16" i="10"/>
  <c r="E12" i="10"/>
  <c r="E275" i="10" s="1"/>
  <c r="E182" i="9"/>
  <c r="E176" i="9"/>
  <c r="E172" i="9"/>
  <c r="E171" i="9"/>
  <c r="E166" i="9"/>
  <c r="E165" i="9"/>
  <c r="E159" i="9"/>
  <c r="E156" i="9"/>
  <c r="E154" i="9"/>
  <c r="E146" i="9"/>
  <c r="E145" i="9"/>
  <c r="E139" i="9"/>
  <c r="E132" i="9"/>
  <c r="E130" i="9"/>
  <c r="E129" i="9"/>
  <c r="E126" i="9"/>
  <c r="E125" i="9"/>
  <c r="E124" i="9"/>
  <c r="E121" i="9"/>
  <c r="E118" i="9"/>
  <c r="E114" i="9"/>
  <c r="E113" i="9"/>
  <c r="E111" i="9"/>
  <c r="E106" i="9"/>
  <c r="E103" i="9"/>
  <c r="E101" i="9"/>
  <c r="E99" i="9"/>
  <c r="E94" i="9"/>
  <c r="E93" i="9"/>
  <c r="E91" i="9"/>
  <c r="E86" i="9"/>
  <c r="E84" i="9"/>
  <c r="E83" i="9"/>
  <c r="E80" i="9"/>
  <c r="E75" i="9"/>
  <c r="E73" i="9"/>
  <c r="E68" i="9"/>
  <c r="E55" i="9"/>
  <c r="E52" i="9"/>
  <c r="E50" i="9"/>
  <c r="E27" i="9"/>
  <c r="E19" i="9"/>
  <c r="E18" i="9"/>
  <c r="E199" i="9" s="1"/>
  <c r="E250" i="8"/>
  <c r="E236" i="8"/>
  <c r="E208" i="8"/>
  <c r="E197" i="8"/>
  <c r="E195" i="8"/>
  <c r="E191" i="8"/>
  <c r="E184" i="8"/>
  <c r="E183" i="8"/>
  <c r="E178" i="8"/>
  <c r="E177" i="8"/>
  <c r="E176" i="8"/>
  <c r="E175" i="8"/>
  <c r="E174" i="8"/>
  <c r="E171" i="8"/>
  <c r="E169" i="8"/>
  <c r="E166" i="8"/>
  <c r="E164" i="8"/>
  <c r="E163" i="8"/>
  <c r="E161" i="8"/>
  <c r="E160" i="8"/>
  <c r="E158" i="8"/>
  <c r="E155" i="8"/>
  <c r="E153" i="8"/>
  <c r="E151" i="8"/>
  <c r="E150" i="8"/>
  <c r="E148" i="8"/>
  <c r="E147" i="8"/>
  <c r="E146" i="8"/>
  <c r="E145" i="8"/>
  <c r="E144" i="8"/>
  <c r="E143" i="8"/>
  <c r="E139" i="8"/>
  <c r="E138" i="8"/>
  <c r="E134" i="8"/>
  <c r="E129" i="8"/>
  <c r="E125" i="8"/>
  <c r="E122" i="8"/>
  <c r="E119" i="8"/>
  <c r="E118" i="8"/>
  <c r="E116" i="8"/>
  <c r="E115" i="8"/>
  <c r="E114" i="8"/>
  <c r="E113" i="8"/>
  <c r="E106" i="8"/>
  <c r="E95" i="8"/>
  <c r="E91" i="8"/>
  <c r="E90" i="8"/>
  <c r="E89" i="8"/>
  <c r="E87" i="8"/>
  <c r="E86" i="8"/>
  <c r="E85" i="8"/>
  <c r="E83" i="8"/>
  <c r="E81" i="8"/>
  <c r="E79" i="8"/>
  <c r="E75" i="8"/>
  <c r="E73" i="8"/>
  <c r="E71" i="8"/>
  <c r="E63" i="8"/>
  <c r="E60" i="8"/>
  <c r="E58" i="8"/>
  <c r="E56" i="8"/>
  <c r="E55" i="8"/>
  <c r="E49" i="8"/>
  <c r="E40" i="8"/>
  <c r="E39" i="8"/>
  <c r="E36" i="8"/>
  <c r="E35" i="8"/>
  <c r="E31" i="8"/>
  <c r="E30" i="8"/>
  <c r="E25" i="8"/>
  <c r="E24" i="8"/>
  <c r="E23" i="8"/>
  <c r="E21" i="8"/>
  <c r="E19" i="8"/>
  <c r="E14" i="8"/>
  <c r="E12" i="8"/>
  <c r="E261" i="8" s="1"/>
  <c r="E242" i="14" l="1"/>
  <c r="E270" i="13"/>
  <c r="E315" i="12"/>
  <c r="E129" i="7"/>
  <c r="E116" i="7"/>
  <c r="E113" i="7"/>
  <c r="E94" i="7"/>
  <c r="E80" i="7"/>
  <c r="E59" i="7"/>
  <c r="E58" i="7"/>
  <c r="E55" i="7"/>
  <c r="E48" i="7"/>
  <c r="E15" i="7"/>
  <c r="E14" i="7"/>
  <c r="E249" i="7" s="1"/>
  <c r="E11" i="5"/>
  <c r="E23" i="5"/>
  <c r="E113" i="5"/>
  <c r="E14" i="5"/>
  <c r="E20" i="5"/>
  <c r="E93" i="5" l="1"/>
  <c r="E38" i="5"/>
  <c r="E25" i="5" l="1"/>
  <c r="E58" i="5"/>
  <c r="E94" i="5"/>
  <c r="E65" i="5"/>
  <c r="E97" i="5"/>
  <c r="E37" i="5"/>
  <c r="E210" i="5"/>
  <c r="E56" i="5" l="1"/>
  <c r="E23" i="4"/>
  <c r="E221" i="5" l="1"/>
  <c r="E115" i="4"/>
  <c r="E20" i="4"/>
  <c r="E169" i="4"/>
  <c r="E11" i="4"/>
  <c r="E99" i="4"/>
  <c r="E59" i="4"/>
  <c r="E96" i="4"/>
  <c r="E14" i="4"/>
  <c r="E214" i="4"/>
  <c r="E209" i="4"/>
  <c r="E15" i="4"/>
  <c r="E167" i="4"/>
  <c r="E189" i="4"/>
  <c r="E57" i="4"/>
  <c r="E267" i="4" l="1"/>
  <c r="A33" i="4"/>
  <c r="E73" i="3"/>
  <c r="E102" i="3"/>
  <c r="E173" i="3"/>
  <c r="E101" i="3" l="1"/>
  <c r="E119" i="3"/>
  <c r="E56" i="3"/>
  <c r="E55" i="3"/>
  <c r="E20" i="3"/>
  <c r="E23" i="3"/>
  <c r="E14" i="3"/>
  <c r="E46" i="3" l="1"/>
  <c r="E149" i="3"/>
  <c r="E148" i="3"/>
  <c r="E182" i="3"/>
  <c r="E175" i="3"/>
  <c r="E189" i="3"/>
  <c r="E52" i="3"/>
  <c r="E84" i="3"/>
  <c r="E96" i="3"/>
  <c r="E109" i="3"/>
  <c r="E196" i="3"/>
  <c r="E162" i="3"/>
  <c r="E59" i="3"/>
  <c r="E166" i="3"/>
  <c r="E97" i="3"/>
  <c r="E21" i="3" l="1"/>
  <c r="E42" i="3" l="1"/>
  <c r="E15" i="3"/>
  <c r="A35" i="3"/>
  <c r="E216" i="2"/>
  <c r="E241" i="2"/>
  <c r="E68" i="2"/>
  <c r="E69" i="2"/>
  <c r="E20" i="2"/>
  <c r="E59" i="2"/>
  <c r="E240" i="3" l="1"/>
  <c r="E80" i="2"/>
  <c r="E23" i="2"/>
  <c r="E129" i="2"/>
  <c r="E148" i="2"/>
  <c r="E47" i="2"/>
  <c r="E221" i="2"/>
  <c r="E110" i="2" l="1"/>
  <c r="A42" i="2" l="1"/>
  <c r="E274" i="2"/>
  <c r="E274" i="1"/>
  <c r="E107" i="1"/>
  <c r="E168" i="1"/>
  <c r="E18" i="1"/>
  <c r="E128" i="1"/>
  <c r="E130" i="1"/>
  <c r="A38" i="1"/>
  <c r="E257" i="1"/>
  <c r="E143" i="1"/>
  <c r="E146" i="1"/>
  <c r="E123" i="1" l="1"/>
  <c r="E142" i="1"/>
  <c r="E67" i="1"/>
  <c r="E139" i="1"/>
  <c r="E135" i="1"/>
  <c r="E137" i="1"/>
  <c r="E120" i="1"/>
  <c r="E147" i="1"/>
  <c r="E145" i="1"/>
  <c r="E134" i="1"/>
  <c r="E149" i="1"/>
  <c r="E301" i="1" l="1"/>
</calcChain>
</file>

<file path=xl/sharedStrings.xml><?xml version="1.0" encoding="utf-8"?>
<sst xmlns="http://schemas.openxmlformats.org/spreadsheetml/2006/main" count="12333" uniqueCount="1790">
  <si>
    <t>NAZIV PRIMATELJA</t>
  </si>
  <si>
    <t>R. BROJ</t>
  </si>
  <si>
    <t>SJEDIŠTE / PREBIVALIŠTE PRIMATELJA</t>
  </si>
  <si>
    <t>ISPLAĆENI IZNOS U €</t>
  </si>
  <si>
    <t>NAZIV ISPLATITELJA</t>
  </si>
  <si>
    <t>VRSTA RASHODA</t>
  </si>
  <si>
    <t>TEHNIČKI SERVISI ŽELJEZNIČKIH VOZILA d.o.o.</t>
  </si>
  <si>
    <t>Strojarska cesta 13, ZAGREB</t>
  </si>
  <si>
    <t>OIB:32246690065</t>
  </si>
  <si>
    <t>TROŠENJE SREDSTAVA U SIJEČNJU 2024.</t>
  </si>
  <si>
    <t>Tehnički servisi željezničkih vozila d.o.o.</t>
  </si>
  <si>
    <t>OTP LEASING d.d.</t>
  </si>
  <si>
    <t>opertivni leasing</t>
  </si>
  <si>
    <t>PORSCHE LEASING d.o.o.</t>
  </si>
  <si>
    <t>HRVATSKA POŠTANSKA BANKA d.d.</t>
  </si>
  <si>
    <t>Jurišićeva 4, Zagreb</t>
  </si>
  <si>
    <t>bankarska naknada</t>
  </si>
  <si>
    <t>GDPR</t>
  </si>
  <si>
    <t>jednokratna pomoć - dugotrajno bolovanje</t>
  </si>
  <si>
    <t>Hrvatski zavod za zdravstveno osiguranje</t>
  </si>
  <si>
    <t>dopunsko zdravstveno osiguranje</t>
  </si>
  <si>
    <t>članarina HGK</t>
  </si>
  <si>
    <t>Hrvatska gospodarska komora</t>
  </si>
  <si>
    <t>sirovine i materijal</t>
  </si>
  <si>
    <t>MORLAK D.O.O.</t>
  </si>
  <si>
    <t>PEVEX D.D.</t>
  </si>
  <si>
    <t>BOOSTER D.O.O.</t>
  </si>
  <si>
    <t>Petrovaradinska ulica 1, Zagreb</t>
  </si>
  <si>
    <t>Velimira Škorpika 21, Zagreb</t>
  </si>
  <si>
    <t>Rooseveltov trg 2, Zagreb</t>
  </si>
  <si>
    <t>02958272670</t>
  </si>
  <si>
    <t xml:space="preserve">	
Margaretska 3, Zagreb</t>
  </si>
  <si>
    <t>Lindlarska ulica 19, Kaštel Lukšić</t>
  </si>
  <si>
    <t>Ulica Gustava Krkleca 12, Zagreb</t>
  </si>
  <si>
    <t>plaće zaposlenika</t>
  </si>
  <si>
    <t>JPMORGAN CHASE BANK NA</t>
  </si>
  <si>
    <t>BANCA INTESA AD</t>
  </si>
  <si>
    <t>ULICA MILENTIJA POPOVIĆA, Srbija</t>
  </si>
  <si>
    <t>Savska cesta 84, Sesvete</t>
  </si>
  <si>
    <t>PRIVREDNA BANKA ZAGREB d.d.</t>
  </si>
  <si>
    <t>13-4994650</t>
  </si>
  <si>
    <t>111 Polaris Parkway Columbus, Ohio</t>
  </si>
  <si>
    <t>OIB PRIMATELJA / VAT ID</t>
  </si>
  <si>
    <t>Radnička cesta 50, Zagreb</t>
  </si>
  <si>
    <t>02535697732</t>
  </si>
  <si>
    <t>HRVATSKE AUTOCESTE D.O.O.</t>
  </si>
  <si>
    <t>cestarina</t>
  </si>
  <si>
    <t>Ulica Stjepana Širole 4, zagreb</t>
  </si>
  <si>
    <t>čišćenje separatora</t>
  </si>
  <si>
    <t>EKO BLIC, industrijska čišćenja, vl. Dejan Živoder</t>
  </si>
  <si>
    <t>Moslavačka 35/a, Popovača</t>
  </si>
  <si>
    <t>SAVEZ ZA  ŽELJEZNICU</t>
  </si>
  <si>
    <t>članarina udruženjima</t>
  </si>
  <si>
    <t>Trnjanska 11F, Zagreb</t>
  </si>
  <si>
    <t>HŽ Cargo d.o.o.</t>
  </si>
  <si>
    <t>eksterne usluge - preračun</t>
  </si>
  <si>
    <t>Agilus tel d.o.o.</t>
  </si>
  <si>
    <t>RAIL &amp; SEA d.o.o.</t>
  </si>
  <si>
    <t>eksterne usluge uključeno u cijenu km</t>
  </si>
  <si>
    <t>HEP OPSKRBA d.o.o</t>
  </si>
  <si>
    <t>HŽ Infrastruktura d.o.o.</t>
  </si>
  <si>
    <t>električna energija</t>
  </si>
  <si>
    <t>komunalna naknada po osnovi rješenja</t>
  </si>
  <si>
    <t xml:space="preserve">trošak zakupnina/najam objekata </t>
  </si>
  <si>
    <t>voda za piće, pranje, sanitarije</t>
  </si>
  <si>
    <t>LAUS  INTERNATIONAL d.o.o.</t>
  </si>
  <si>
    <t>externe usluge - preračun</t>
  </si>
  <si>
    <t>Ulica Ante Babaje 1, Zagreb</t>
  </si>
  <si>
    <t>Ulica Vjekoslava Heinzela 51, Zagreb</t>
  </si>
  <si>
    <t>08720210702</t>
  </si>
  <si>
    <t>00775236520</t>
  </si>
  <si>
    <t>Bani 77, Zagreb</t>
  </si>
  <si>
    <t>Mihanovićeva ulica 12, Zagreb</t>
  </si>
  <si>
    <t>Ulica grada Vukovara 37, Zagreb</t>
  </si>
  <si>
    <t>Soblinečka 75, Soblinec</t>
  </si>
  <si>
    <t>Dr. Franje Tuđmana 16 B, Sveta Nedjelja</t>
  </si>
  <si>
    <t>OV-ODRZAVANJE VAGONA d.o.o.</t>
  </si>
  <si>
    <t>Strojarska cesta 17, Zagreb</t>
  </si>
  <si>
    <t xml:space="preserve">INA-INDUSTRIJA NAFTE D.D. </t>
  </si>
  <si>
    <t>gorivo za automobile</t>
  </si>
  <si>
    <t>Avenija Većeslava Holjevca 10, Zagreb</t>
  </si>
  <si>
    <t>lož ulje - utrošena energija</t>
  </si>
  <si>
    <t>HRT-RTV pristojba</t>
  </si>
  <si>
    <t>Hrvatska radiotelevizija</t>
  </si>
  <si>
    <t>Prisavlje 3, Zagreb</t>
  </si>
  <si>
    <t>ININ INFORMATIČKI INŽENJERING D.O.O.</t>
  </si>
  <si>
    <t>informatičke usluge</t>
  </si>
  <si>
    <t>DOLIPROM d.o.o.</t>
  </si>
  <si>
    <t>ELEKTRONIČKI RAČUNI d.o.o</t>
  </si>
  <si>
    <t>Ulica 108. brigade ZNG 26, Slavonski Brod</t>
  </si>
  <si>
    <t>Ulica Simona Gregorčiča 8, Zagreb</t>
  </si>
  <si>
    <t>Dudovec 24 B, Zagreb</t>
  </si>
  <si>
    <t>08741309749</t>
  </si>
  <si>
    <t>ZASTITA  ATEST d.o.o</t>
  </si>
  <si>
    <t xml:space="preserve">ispitivnaje strojeva i uređaja </t>
  </si>
  <si>
    <t>Bani 75, Zagreb</t>
  </si>
  <si>
    <t>JAVNI BILJEZNIK VLASTA ZAJEC</t>
  </si>
  <si>
    <t>odvjetničke, bilježničke i dr. usluge</t>
  </si>
  <si>
    <t>Trg Kralja Tomislava 4, Zagreb</t>
  </si>
  <si>
    <t>naknade za rad po ugovoru o djelu</t>
  </si>
  <si>
    <t>Franjo Javor</t>
  </si>
  <si>
    <t>jubilarne naknade</t>
  </si>
  <si>
    <t>GRAD KNIN</t>
  </si>
  <si>
    <t>Dr. Franje Tuđmana 2, Knin</t>
  </si>
  <si>
    <t>troškovi zaštite okoliša - nadzorni audit</t>
  </si>
  <si>
    <t>ADRIA NORMA d.o.o</t>
  </si>
  <si>
    <t>Ulica grada Vukovara 284d, Zagreb</t>
  </si>
  <si>
    <t>nagrada za radne rezultate</t>
  </si>
  <si>
    <t>najam kontenjera,kemijski WC, kisik boca</t>
  </si>
  <si>
    <t>MESSER CROATIA PLIN  D.O.O</t>
  </si>
  <si>
    <t>Industrijska ulica 1, Zaprešić</t>
  </si>
  <si>
    <t>Martina Ballinga 5, Vinkovci</t>
  </si>
  <si>
    <t>odvoz smeća</t>
  </si>
  <si>
    <t>NEVKOŠ d.o.o.</t>
  </si>
  <si>
    <t>Ekotex d.o.o.</t>
  </si>
  <si>
    <t>najam krpa</t>
  </si>
  <si>
    <t>07941830049</t>
  </si>
  <si>
    <t>Gospodarska 5c, Donji Stupnik</t>
  </si>
  <si>
    <t>najam strojeva i opreme</t>
  </si>
  <si>
    <t>KSU d.o.o</t>
  </si>
  <si>
    <t>Jurja Dobrile 50, Velika Gorica</t>
  </si>
  <si>
    <t>naknada članovima NO</t>
  </si>
  <si>
    <t>naknada prijevoza na rad i s rada</t>
  </si>
  <si>
    <t>naknada za smrt užeg člana obitelji</t>
  </si>
  <si>
    <t>naknada za vode</t>
  </si>
  <si>
    <t>RH UPRAVNI ODJEL ZA GOSPODARSKI RAZVOJ GRAD PLOČE</t>
  </si>
  <si>
    <t>Trg kralja Tomislava 23, Ploče</t>
  </si>
  <si>
    <t>HRVATSKE VODE</t>
  </si>
  <si>
    <t>naknada za zaštitu voda po rješenju</t>
  </si>
  <si>
    <t>Ulica Grada Vukovara 220, Zagreb</t>
  </si>
  <si>
    <t>obveze za primljena jamstva</t>
  </si>
  <si>
    <t>TELEMACH HRVATSKA D.O.O.</t>
  </si>
  <si>
    <t>Hrvatski Telekom d.d</t>
  </si>
  <si>
    <t>Radnička cesta 21, Zagreb</t>
  </si>
  <si>
    <t>Ulica Josipa Marohnića 1,, Zagreb</t>
  </si>
  <si>
    <t>ČISTOĆA d.o.o.  SPLIT</t>
  </si>
  <si>
    <t>ČISTOĆA d.o.o.  KARLOVAC</t>
  </si>
  <si>
    <t>ČISTOĆA d.o.o.  VARAŽDIN</t>
  </si>
  <si>
    <t>ČISTOĆA I ZELENILO d.o.o.</t>
  </si>
  <si>
    <t>STAMBENO KOMUNALNO GOSPODARSTVO D.O.O.</t>
  </si>
  <si>
    <t>Gradsko komunalno poduzeće KOMUNALAC d.o.o.</t>
  </si>
  <si>
    <t>IVANA GORANA KOVAČIĆA 8; OGULIN</t>
  </si>
  <si>
    <t>UNIKOM D.O.O.</t>
  </si>
  <si>
    <t>ZG.H. d.o.o.  PODR.ČISTOĆA</t>
  </si>
  <si>
    <t>DRŽAVNI PRORAČUN REPUBLIKE HRVATSKE</t>
  </si>
  <si>
    <t>OSI naknada</t>
  </si>
  <si>
    <t>BELMET97 d.o.o.</t>
  </si>
  <si>
    <t>osnovno sredstvo</t>
  </si>
  <si>
    <t>DB SYSTEMTECHNIK GMBH</t>
  </si>
  <si>
    <t>LIDIBA d.o.o.</t>
  </si>
  <si>
    <t>MICOM ELEKTRONIKA d.o.o.</t>
  </si>
  <si>
    <t>MIKRONIS d.o.o.</t>
  </si>
  <si>
    <t>ZJZ Županije splitsko dalmatinske</t>
  </si>
  <si>
    <t>ostale usluge - analiza otpadnih voda</t>
  </si>
  <si>
    <t>˝G.T.B.˝</t>
  </si>
  <si>
    <t>A.M.I. COMERCE LOVREKOVIC</t>
  </si>
  <si>
    <t>A/D  ELECTRONIC D.O.O.</t>
  </si>
  <si>
    <t>AD PLUS D.O.O.</t>
  </si>
  <si>
    <t>ŠARED 26 C; IZOLA, Slovenija</t>
  </si>
  <si>
    <t>ADRIA-TRGOVINA-ZAGREB d.o.o.</t>
  </si>
  <si>
    <t>AKS DASIS DOMMERMUTH GMBH</t>
  </si>
  <si>
    <t>AUF DEM HAHNENBERG 14/MULHEIM, Njemačka</t>
  </si>
  <si>
    <t>ALCA ZAGREB d.o.o.</t>
  </si>
  <si>
    <t>ALETA d.o.o</t>
  </si>
  <si>
    <t>ALTASYS j.d.o.o.</t>
  </si>
  <si>
    <t>ALTPRO d.o.o</t>
  </si>
  <si>
    <t>AMERI-POL TRADING LTD</t>
  </si>
  <si>
    <t>KS. DR S. WILCZEWSKIEGO 6; KATOWICE, Poljska</t>
  </si>
  <si>
    <t>AUTO HRVATSKA PSC d.o.o.</t>
  </si>
  <si>
    <t>AUTO MARKET BUS d.o.o.</t>
  </si>
  <si>
    <t>AUTOMEHANIKA d.d</t>
  </si>
  <si>
    <t>ostale usluge unutar Grupe</t>
  </si>
  <si>
    <t>HŽ Putnički prijevoz d.o.o.</t>
  </si>
  <si>
    <t>reprezentacija</t>
  </si>
  <si>
    <t>HANZA MEDIA D.O.O.</t>
  </si>
  <si>
    <t>TAU ON-LINE d.o.o.</t>
  </si>
  <si>
    <t>ostali troškovi</t>
  </si>
  <si>
    <t>otpremnina</t>
  </si>
  <si>
    <t>putni nalozi - dnevnice</t>
  </si>
  <si>
    <t>poštanske usluge</t>
  </si>
  <si>
    <t>HP HRVATSKA POSTA D.D.</t>
  </si>
  <si>
    <t>BAUHAUS-ZAGREB, KOMANDITNO DRUŠTVO ZA TRGOVINU I USLUGE</t>
  </si>
  <si>
    <t>BLISTA PROIZVODNJA d.o.o.</t>
  </si>
  <si>
    <t>BOLF D.O.O</t>
  </si>
  <si>
    <t>BUTAN PLIN d.o.o.</t>
  </si>
  <si>
    <t>WIENER OSIG. VIENNA INSURANCE GROUP D.D.</t>
  </si>
  <si>
    <t>premije osiguranja osoba</t>
  </si>
  <si>
    <t>EUROHERC OSIGURANJE d.d.</t>
  </si>
  <si>
    <t>premije za AO</t>
  </si>
  <si>
    <t>DOMATO LD d.o.o.</t>
  </si>
  <si>
    <t>promotivni materijal</t>
  </si>
  <si>
    <t>ELEX d.o.o</t>
  </si>
  <si>
    <t>protupožarna zaštita</t>
  </si>
  <si>
    <t>regres za prethodno razdoblje</t>
  </si>
  <si>
    <t>renta po presudi</t>
  </si>
  <si>
    <t>SPAZ-SAMOPOSLUZNI  APARATI</t>
  </si>
  <si>
    <t>solidarna pomoć obitelji pok.radnika</t>
  </si>
  <si>
    <t>Mosna 15, Koprivnica</t>
  </si>
  <si>
    <t>Put Mostina 49, Split</t>
  </si>
  <si>
    <t>Gažanski trg 8, Karlovac</t>
  </si>
  <si>
    <t>02371889218</t>
  </si>
  <si>
    <t>Ognjena Price 13, Varaždin</t>
  </si>
  <si>
    <t>Trg Oluje 5.kolovoza 1995, 9, Knin</t>
  </si>
  <si>
    <t>07507345484</t>
  </si>
  <si>
    <t>Ružina ulica 11A, Osijek</t>
  </si>
  <si>
    <t>Ulica grada Vukovara 41, Zagreb</t>
  </si>
  <si>
    <t>Ulica Hrvatskog proljeća 34, Zagreb</t>
  </si>
  <si>
    <t>DE278387628</t>
  </si>
  <si>
    <t>Emilienstrasse 45, Chemnitz , Njemačka</t>
  </si>
  <si>
    <t>Ulica Vladimira Nazora 76, Zagreb</t>
  </si>
  <si>
    <t>Samoborska cesta 85A, Zagreb</t>
  </si>
  <si>
    <t>Nova cesta 166, Zagreb</t>
  </si>
  <si>
    <t>Vukovarska 46, Split</t>
  </si>
  <si>
    <t>Veliko Korenovo 6, Bjelovar</t>
  </si>
  <si>
    <t>Maksimirska cesta 100, Zagreb</t>
  </si>
  <si>
    <t>Uska 1, Čakovec</t>
  </si>
  <si>
    <t>SI99334011</t>
  </si>
  <si>
    <t>Ulica grada Vukovara 222, Zagreb</t>
  </si>
  <si>
    <t>DE185192898</t>
  </si>
  <si>
    <t>Koledovčina 2, Zagreb</t>
  </si>
  <si>
    <t>Tribanjska ulica 2, Zadar</t>
  </si>
  <si>
    <t>Ulica Antuna Štrbana 12, Zagreb</t>
  </si>
  <si>
    <t>Orahovac 4, Zagreb</t>
  </si>
  <si>
    <t>Zastavnice 25c, Hrvatski Leskovac</t>
  </si>
  <si>
    <t>Kovinska 4, Zagreb</t>
  </si>
  <si>
    <t>HORVAĆANSKA CESTA 43, Zagreb</t>
  </si>
  <si>
    <t>Strojarska cesta 11, Zagreb</t>
  </si>
  <si>
    <t>Koranska ulica 2,Zagreb</t>
  </si>
  <si>
    <t>Strojarska cesta 20, Zagreb</t>
  </si>
  <si>
    <t>Poštanska ulica 9, Velika Gorica</t>
  </si>
  <si>
    <t>BAČELIĆ D.O.O</t>
  </si>
  <si>
    <t>Avenija Većeslava Holjevca 54, Zagreb</t>
  </si>
  <si>
    <t>Ulica Velimira Škorpika 27, Zagreb</t>
  </si>
  <si>
    <t>Hrvace 416, Hrvace</t>
  </si>
  <si>
    <t>00621691211</t>
  </si>
  <si>
    <t>Ulica Ivana Rendića 3, Zagreb</t>
  </si>
  <si>
    <t>ULICA RIJEKE DRAGONJE 23, Novigrad</t>
  </si>
  <si>
    <t>Slovenska ulica 24, Zagreb</t>
  </si>
  <si>
    <t>Ulica grada Chicaga 22, Zagreb</t>
  </si>
  <si>
    <t>Ul. Grada Vukovara 282, Zagreb</t>
  </si>
  <si>
    <t>Savska 70, Sesvete</t>
  </si>
  <si>
    <t>Bani 71, Zagreb</t>
  </si>
  <si>
    <t>CENTAR ZA KOMBINIRANI TRANSPORT ZAGREB, D.D.</t>
  </si>
  <si>
    <t>trošak prijevoza</t>
  </si>
  <si>
    <t>PRILAZ IVANA VISINA 5, Zagreb</t>
  </si>
  <si>
    <t>BTR KOMPRESOR d.o.o.</t>
  </si>
  <si>
    <t>Štefanjska ulica 13, Donji Stupnik</t>
  </si>
  <si>
    <t>zbrinjavanje tehnološkog otpada</t>
  </si>
  <si>
    <t>C.I.A.K. d.o.o</t>
  </si>
  <si>
    <t>CIAK TOOLS d.o.o.</t>
  </si>
  <si>
    <t>Savska opatovina 36, Zagreb</t>
  </si>
  <si>
    <t>Kovinska ulica 4, Zagreb</t>
  </si>
  <si>
    <t>Čistoća d.o.o Rijeka</t>
  </si>
  <si>
    <t>Dolac 14, Rijeka</t>
  </si>
  <si>
    <t>06531901714</t>
  </si>
  <si>
    <t>CONTY PLUS D.O.O.</t>
  </si>
  <si>
    <t>Karlovačka 100, Lučko</t>
  </si>
  <si>
    <t>CUP UP d.o.o.</t>
  </si>
  <si>
    <t>Silvija Strahimira Kranjčevića 5, Bjelovar</t>
  </si>
  <si>
    <t>EUROMONT INTRO d.o.o.</t>
  </si>
  <si>
    <t>tekuće održavanje zgrada</t>
  </si>
  <si>
    <t>KANALSKI PUT 20, Zagreb</t>
  </si>
  <si>
    <t>HEP-PLIN d.o.o.</t>
  </si>
  <si>
    <t>trošak plina</t>
  </si>
  <si>
    <t>Ulica cara Hadrijana 7, Osijek</t>
  </si>
  <si>
    <t>INA MAZIVA  d.o.o.</t>
  </si>
  <si>
    <t>Radnička cesta 175, Zagreb</t>
  </si>
  <si>
    <t>INDUSTROOPREMA d.o.o</t>
  </si>
  <si>
    <t>Rimski put 11 K, Sesvete</t>
  </si>
  <si>
    <t>01291306683</t>
  </si>
  <si>
    <t>KOMUNALNO - ZABOK  d.o.o.</t>
  </si>
  <si>
    <t>Zivtov trg 3, Zabok</t>
  </si>
  <si>
    <t>LUMARO PROJEKT d.o.o.</t>
  </si>
  <si>
    <t>Gornjostupnička ulica 1B, Zagreb</t>
  </si>
  <si>
    <t>M.M.METAL j.d.o.o.</t>
  </si>
  <si>
    <t>Mala Cerna 41, Cerna</t>
  </si>
  <si>
    <t>NARODNE NOVINE d.d.</t>
  </si>
  <si>
    <t>Savski gaj XIII. 6, Zagreb</t>
  </si>
  <si>
    <t>NOVOTECH d.o.o.</t>
  </si>
  <si>
    <t>Ulica Grada Wirgesa 10/9, Samobor</t>
  </si>
  <si>
    <t>PASTOR-TVA d.d.</t>
  </si>
  <si>
    <t>Novačka cesta 2, Rakitje</t>
  </si>
  <si>
    <t>PRO-PROM ZAGREB d.o.o.</t>
  </si>
  <si>
    <t>Svetoklarska ulica 34A, Zagreb</t>
  </si>
  <si>
    <t>RAPTOR FLEET d.o.o.</t>
  </si>
  <si>
    <t>usluge praćenja službenih vozila</t>
  </si>
  <si>
    <t>Gospodarska ulica 18C, Stupnik</t>
  </si>
  <si>
    <t>tekuće održavanje osnovnih sredstava</t>
  </si>
  <si>
    <t>SAGENA INFORMATIČKI INŽENJERING D.O.O.</t>
  </si>
  <si>
    <t>Donje Svetice 46C, Zagreb</t>
  </si>
  <si>
    <t>SMART CORPORATION d.o.o</t>
  </si>
  <si>
    <t>Zavrtnica 5, Zagreb</t>
  </si>
  <si>
    <t>trošak telefona i interneta</t>
  </si>
  <si>
    <t>TŽV GREDELJ d.o.o</t>
  </si>
  <si>
    <t>ostale proizvodne usluge</t>
  </si>
  <si>
    <t>Vukomerečka cesta 89, Zagreb</t>
  </si>
  <si>
    <t>VODOOPSKRBA I ODVODNJA d.o.o.</t>
  </si>
  <si>
    <t>ĐURO ĐAKOVIC LJEVAONICA d.o.o</t>
  </si>
  <si>
    <t>Ulica 108.brigade ZNG 88, Slavonski Brod</t>
  </si>
  <si>
    <t>Ulica Frana Folnegovića 1, Zagreb</t>
  </si>
  <si>
    <t>tužba Pr-2073/2015- isplata po nagodbi</t>
  </si>
  <si>
    <t>ĐURO ĐAKOVIC STROJNA OBRADA d.o.o.</t>
  </si>
  <si>
    <t>KNORR-BREMSE GMBH</t>
  </si>
  <si>
    <t>ATU19269100</t>
  </si>
  <si>
    <t>BEETHOVENGASSE 43-45, MÖDLING, Austrija</t>
  </si>
  <si>
    <t>DB FAHRZEUGINSTANDHALTUNG GMBH</t>
  </si>
  <si>
    <t>Weilburger Str.22, Frankfurt, Njemačka</t>
  </si>
  <si>
    <t>DE114129319</t>
  </si>
  <si>
    <t>Sila-cool d.o.o.</t>
  </si>
  <si>
    <t>Radnička cesta 218, Zagreb</t>
  </si>
  <si>
    <t>01325187263</t>
  </si>
  <si>
    <t>SMIT - COMMERCE d.o.o</t>
  </si>
  <si>
    <t>Gornjostupnička ulica 9B, Stupnik</t>
  </si>
  <si>
    <t>TOKIC D.O.O</t>
  </si>
  <si>
    <t>Ulica 144. brigade Hrvatske vojske 1A, Sesvete</t>
  </si>
  <si>
    <t>JEDINSTVO KRAPINA d.o.o.</t>
  </si>
  <si>
    <t>Mihaljekov Jarek 33, Krapina</t>
  </si>
  <si>
    <t>SKINEST RAILWAY SERVICES OU</t>
  </si>
  <si>
    <t>povrat krive uplate</t>
  </si>
  <si>
    <t>Moisa tn 4, Tallinn, Estonija</t>
  </si>
  <si>
    <t>EE102140949</t>
  </si>
  <si>
    <t>ENGLMAYER ZAGREB d.o.o.</t>
  </si>
  <si>
    <t>Slavonska avenija 52 L, Zagreb</t>
  </si>
  <si>
    <t>HEP-TOPLINARSTVO d.o.o.</t>
  </si>
  <si>
    <t>toplinska energija</t>
  </si>
  <si>
    <t>Miševečka ulica 15 A, Zagreb</t>
  </si>
  <si>
    <t>GEO-TECHNIK GMBH I CO KG</t>
  </si>
  <si>
    <t>Hanauer Landstr. 102, Njemačka</t>
  </si>
  <si>
    <t>DE814436416</t>
  </si>
  <si>
    <t>SPEC.ORD. MED. RADA I SPORTA JOSIP FILAKOVIĆ</t>
  </si>
  <si>
    <t>zdravstvene usluge</t>
  </si>
  <si>
    <t>Kralja Zvonimira 53, Vinkovci</t>
  </si>
  <si>
    <t>DOM ZDRAVLJA ZAGREB-CENTAR</t>
  </si>
  <si>
    <t>Ulica Josipa Runjanina 4, Zagreb</t>
  </si>
  <si>
    <t>00053084642</t>
  </si>
  <si>
    <t>GRAĐEVINSKI OBRT FENIKS, GORAN PRISELAC</t>
  </si>
  <si>
    <t>ZADOBARJE 26; KARLOVAC</t>
  </si>
  <si>
    <t>STROJOPROMET d.o.o.</t>
  </si>
  <si>
    <t>Zagrebačka ulica 6, Šenkovec</t>
  </si>
  <si>
    <t xml:space="preserve">TED d.o.o. </t>
  </si>
  <si>
    <t>Vrhovčev Vijenac 84,  Zagreb</t>
  </si>
  <si>
    <t>CIAK TRUCK d.o.o.</t>
  </si>
  <si>
    <t>Jelkovečka ulica 5, Sesvete</t>
  </si>
  <si>
    <t>SPECIJALISTIČKA ORDINACIJA MEDICINE RADA HELENA BLAŽIĆ</t>
  </si>
  <si>
    <t>Cankarova 7, Pula</t>
  </si>
  <si>
    <t>ELEKTRON ERMA-STRMEC d.o.o.</t>
  </si>
  <si>
    <t>STUBIČKI STRMEC 182, Stubičke toplice</t>
  </si>
  <si>
    <t>GUMB d.o.o</t>
  </si>
  <si>
    <t>Splitska 10 B, Osijek</t>
  </si>
  <si>
    <t>BIJELA HARMONIJA d.o.o.</t>
  </si>
  <si>
    <t>usluge pranja i glačanja</t>
  </si>
  <si>
    <t>Samoborska cesta 266, Zagreb</t>
  </si>
  <si>
    <t>STAKLO PILETIC d.o.o.</t>
  </si>
  <si>
    <t>Velikopoljska 3, Zagreb</t>
  </si>
  <si>
    <t>09552305759</t>
  </si>
  <si>
    <t>TOS d.o.o.</t>
  </si>
  <si>
    <t>Ulica Tome Blažeka 20, Peteranec</t>
  </si>
  <si>
    <t>ZDRAVSTVENA USTANOVA ZA MEDICINU RADA</t>
  </si>
  <si>
    <t>VLADIMIRA NAZORA 5; METKOVIĆ</t>
  </si>
  <si>
    <t>KHR Servis d.o.o.</t>
  </si>
  <si>
    <t>Dr. Franje Tuđmana 14, Brezje</t>
  </si>
  <si>
    <t>ELEKTROKOVINA  ADRIA D.O.O.</t>
  </si>
  <si>
    <t>tekuće održavanje kotlovnica -plinskih instalacija</t>
  </si>
  <si>
    <t>KOPILICA 62, Split</t>
  </si>
  <si>
    <t>VOITH TURBO d.o.o.</t>
  </si>
  <si>
    <t>Grebenščica 11, Zagreb</t>
  </si>
  <si>
    <t>TM-AUTO d.o.o.</t>
  </si>
  <si>
    <t>tekuće održavanje teretnih vozila</t>
  </si>
  <si>
    <t>tekuće održavanje osobnih automobila</t>
  </si>
  <si>
    <t>DIESEL LOKO DISTRIBUTION SP. Z.O.O.</t>
  </si>
  <si>
    <t>Zaborze,Borow iec. 50, Poljska</t>
  </si>
  <si>
    <t>PL5492414157</t>
  </si>
  <si>
    <t>KEMOBOJA-DUBRAVA d.o.o.</t>
  </si>
  <si>
    <t>Dubrava 37, Zagreb</t>
  </si>
  <si>
    <t>COMET d.o.o.</t>
  </si>
  <si>
    <t>Varaždinska 40c, Novi Marof</t>
  </si>
  <si>
    <t>STIREL-PROMET d.o.o.</t>
  </si>
  <si>
    <t>Ulica Vladimira Varićaka 3, Zagreb</t>
  </si>
  <si>
    <t>LUVETI d.o.o</t>
  </si>
  <si>
    <t>Ulica Charlesa Darwina 6E, Zagreb</t>
  </si>
  <si>
    <t>WURTH-HRVATSKA d.o.o.</t>
  </si>
  <si>
    <t>Lužec 1, Veliko Trgovišće</t>
  </si>
  <si>
    <t>OTIS DIZALA D.O.O.</t>
  </si>
  <si>
    <t>Prilaz Vladislava Brajkovića 15, Zagreb</t>
  </si>
  <si>
    <t>KRISTAL d.o.o. BJELOVAR</t>
  </si>
  <si>
    <t>Ružinovačka 2, Bjelovar</t>
  </si>
  <si>
    <t>HANSA-FLEX Croatia d.o.o.</t>
  </si>
  <si>
    <t>Rimski put 28, Sesvete</t>
  </si>
  <si>
    <t>GLOBEX S.R.L., PODRUZNICA V SLOVENIJI</t>
  </si>
  <si>
    <t>IOC ZAPOLJE I/7, LOGATEC, Slovenija</t>
  </si>
  <si>
    <t>SI19460716</t>
  </si>
  <si>
    <t>SAPONIA d.d.</t>
  </si>
  <si>
    <t>Matije Gupca 2, Osijek</t>
  </si>
  <si>
    <t>VULKAL d.o.o.</t>
  </si>
  <si>
    <t xml:space="preserve"> Samoborska cesta 310, Zagreb</t>
  </si>
  <si>
    <t>VARKOM d.o.o.</t>
  </si>
  <si>
    <t>Trg bana Josipa Jelačića 15, Varaždin</t>
  </si>
  <si>
    <t>MM MODEL d.o.o.</t>
  </si>
  <si>
    <t xml:space="preserve">Babotok 41, Babotok </t>
  </si>
  <si>
    <t>TERMOPLIN D.D</t>
  </si>
  <si>
    <t>Ulica Vjekoslava Spinčića 80, Varaždin</t>
  </si>
  <si>
    <t>SANTINI D. O.O</t>
  </si>
  <si>
    <t>Ante Starčevića 79, Vinkovci</t>
  </si>
  <si>
    <t>DD SERVIS D.O.O.</t>
  </si>
  <si>
    <t>SISAČKA CESTA , III ODVOJAK BR.7, Zagreb</t>
  </si>
  <si>
    <t>ELEKTROKEM d.o.o.</t>
  </si>
  <si>
    <t>Ulica Augusta Šenoe 69, Zagreb</t>
  </si>
  <si>
    <t>M.B. AUTO d.o.o. za trgovinu i usluge,</t>
  </si>
  <si>
    <t>Koledovčina 8, Zagreb</t>
  </si>
  <si>
    <t>CROM d.o.o.</t>
  </si>
  <si>
    <t>Samoborska cesta 145, Zagreb</t>
  </si>
  <si>
    <t>ILV PU D.O.O.</t>
  </si>
  <si>
    <t>ORBICO d.o.o.</t>
  </si>
  <si>
    <t>Koturaška cesta 69, Zagreb</t>
  </si>
  <si>
    <t>Katanićeva 24, Beograd, Srbija</t>
  </si>
  <si>
    <t>EUROMAINT COMPONENTS</t>
  </si>
  <si>
    <t>BOX 1555, Solna, Švedska</t>
  </si>
  <si>
    <t>SE559163088301</t>
  </si>
  <si>
    <t>Tahograf d.o.o.</t>
  </si>
  <si>
    <t>Dr. Franje Tuđmana 24, Sveta Nedjelja</t>
  </si>
  <si>
    <t>METROTEKA d.o.o.</t>
  </si>
  <si>
    <t>Ulica Kreše Golika 3, Zagreb</t>
  </si>
  <si>
    <t>MICROSTAR d.o.o.</t>
  </si>
  <si>
    <t>Siget 18b/polukat, Zagreb</t>
  </si>
  <si>
    <t xml:space="preserve">TEO-BELISCE d.o.o. </t>
  </si>
  <si>
    <t>Radnička 3, Belišće</t>
  </si>
  <si>
    <t>HGSPOT GRUPA D.O.O.</t>
  </si>
  <si>
    <t>AVENIJA DUBROVNIK 46, Zagreb</t>
  </si>
  <si>
    <t>OLEUM FLEX d.o.o.</t>
  </si>
  <si>
    <t>Puškarićeva ulica 11 F, Lučko</t>
  </si>
  <si>
    <t>LOVATO KONČAR d.o.o.</t>
  </si>
  <si>
    <t>Borongajska cesta 81B, Zagreb</t>
  </si>
  <si>
    <t>MAČEK TVORNICA VIJAKA ZAGREB d.o.o.</t>
  </si>
  <si>
    <t>Ulica Milana Ogrizovića 41, Zagreb</t>
  </si>
  <si>
    <t>SCHUNK CARBON TECHNOLOGY GMBH</t>
  </si>
  <si>
    <t>Au 62, Bad Goisern, Austrija</t>
  </si>
  <si>
    <t xml:space="preserve"> ATU21882906</t>
  </si>
  <si>
    <t>METALPROM d.o.o.</t>
  </si>
  <si>
    <t>Ulica Zdravka Gubaša 6, Samobor</t>
  </si>
  <si>
    <t>ROS-TRGOVINA d.o.o.</t>
  </si>
  <si>
    <t>Učkina ulica 14A, Zagreb</t>
  </si>
  <si>
    <t>ŠVENDA-TARMANN CHEMIE d.o.o.</t>
  </si>
  <si>
    <t>Glavna ulica 138, Prelog</t>
  </si>
  <si>
    <t>BRANKA MEĐUREČAN ČAMBER</t>
  </si>
  <si>
    <t>VICTORY HYDRAULIC PUMP MANUFACTURING LTD</t>
  </si>
  <si>
    <t>WU XIANG ROAD; NINGBO, Kina</t>
  </si>
  <si>
    <t>MEĐIMURJE-PLIN d.o.o. za opskrbu plinom</t>
  </si>
  <si>
    <t>Obrtnička ulica 4, Čakovec</t>
  </si>
  <si>
    <t>MIRTA-KONTROL d.o.o.</t>
  </si>
  <si>
    <t>troškovi zaštite okoliša</t>
  </si>
  <si>
    <t>Javorinska ulica 3, Zagreb</t>
  </si>
  <si>
    <t>ELECTRO-MOTIVE DIESEL LIMITED</t>
  </si>
  <si>
    <t>GB661546137</t>
  </si>
  <si>
    <t>Unit 25 Carcroft Enterprise Park, UK</t>
  </si>
  <si>
    <t>KRUNO PROJEKT d.o.o. za usluge</t>
  </si>
  <si>
    <t>tekuće održavanje kotlovnice</t>
  </si>
  <si>
    <t>Ulica bana Josipa Jelačića 2, Samobor</t>
  </si>
  <si>
    <t>RH FOND ZA ZAŠTITU OKOLIŠA I ENERGETSKU UČINKOVITOST</t>
  </si>
  <si>
    <t>Radnička cesta 80, Zagreb</t>
  </si>
  <si>
    <t>LEŽAJ TRADE d.o.o.</t>
  </si>
  <si>
    <t>Zagrebačka 26, Prigorje Brdovečko</t>
  </si>
  <si>
    <t>DIV LABORATORIJ d.o.o.</t>
  </si>
  <si>
    <t>Ulica Davora Zbiljskog 30, Zagreb</t>
  </si>
  <si>
    <t>STASTO KG</t>
  </si>
  <si>
    <t>ATU70017046</t>
  </si>
  <si>
    <t>SVAN d.o.o.</t>
  </si>
  <si>
    <t>Kralja Petra Krešimira IV br.6, Karlovac</t>
  </si>
  <si>
    <t>01560383281</t>
  </si>
  <si>
    <t>GIMBORN TRADING SL</t>
  </si>
  <si>
    <t>CMNO VIEJO DE CALIG NO 98, Španjolska</t>
  </si>
  <si>
    <t>ESB12749586</t>
  </si>
  <si>
    <t>RE-BO TIBAN d.o.o.</t>
  </si>
  <si>
    <t>Velikogorička ulica 18C, Velika Gorica</t>
  </si>
  <si>
    <t>LUX-R d.o.o.</t>
  </si>
  <si>
    <t xml:space="preserve"> Božidarevićeva ulica 7, Zagreb</t>
  </si>
  <si>
    <t>GEGI d.o.o.</t>
  </si>
  <si>
    <t>II LEDENIČKI ODVOJAK 2A, zagreb</t>
  </si>
  <si>
    <t>06024542975</t>
  </si>
  <si>
    <t>TEHNONORMA d.o.o.</t>
  </si>
  <si>
    <t>Zeleni trg 3A, Zagreb</t>
  </si>
  <si>
    <t>Atalian Global Services Croatia d.o.o.</t>
  </si>
  <si>
    <t>usluge čišćenja</t>
  </si>
  <si>
    <t>Garićgradska ulica 18, Zagreb</t>
  </si>
  <si>
    <t>ADRIA GRUPA d.o.o.</t>
  </si>
  <si>
    <t>Ulica Vjekoslava Heinzela 53 A, Zagreb</t>
  </si>
  <si>
    <t>06637660960</t>
  </si>
  <si>
    <t>COVEIN AIR BRAKE SYSTEM SRL</t>
  </si>
  <si>
    <t xml:space="preserve"> IT11579910966</t>
  </si>
  <si>
    <t>PIAZZA LEGA LOMBARDA 1, Milano, Italija</t>
  </si>
  <si>
    <t>RE-CON CENTAR -INZENJERING</t>
  </si>
  <si>
    <t xml:space="preserve">Donjozelinska ulica 111, Donja Zelina </t>
  </si>
  <si>
    <t>CELLOFOAM GMBH UND CO. KG</t>
  </si>
  <si>
    <t>DE334986367</t>
  </si>
  <si>
    <t>Freiburger Strase 44, Biberach , Njemačka</t>
  </si>
  <si>
    <t>OPTICUS IT d.o.o.</t>
  </si>
  <si>
    <t>Ulica Antuna Branka Šimića 22, Zagreb</t>
  </si>
  <si>
    <t>INSTALOMONT TERMOCENTAR d.o.o.</t>
  </si>
  <si>
    <t> 44586331767</t>
  </si>
  <si>
    <t>Ulica kralja Tomislava 7, Čakovec</t>
  </si>
  <si>
    <t>MAKROMIKRO GRUPA d.o.o.</t>
  </si>
  <si>
    <t>Vukomerička ulica 6, Velika Gorica</t>
  </si>
  <si>
    <t>LEXPERA pravne i poslovne informacije d.o.o.</t>
  </si>
  <si>
    <t>troškovi za stručnu literaturu i časopise</t>
  </si>
  <si>
    <t>Ulica Grge Tuškana 37, Zagreb</t>
  </si>
  <si>
    <t>HRVATSKI ZAVOD ZA JAVNO ZDRAVSTVO</t>
  </si>
  <si>
    <t>trošak stručnog obrazovanja</t>
  </si>
  <si>
    <t>Rockefellerova ulica 7, Zagreb</t>
  </si>
  <si>
    <t>Thyssenkrupp Elevator Eastern Europe GmbH, P-ZGB</t>
  </si>
  <si>
    <t>LABORATORIJ BRCKOVIĆ</t>
  </si>
  <si>
    <t>Fallerovo šetalište 22, Zagreb</t>
  </si>
  <si>
    <t>Čulinečka cesta 87, Zagreb</t>
  </si>
  <si>
    <t>ROLOTEHNA d.o.o.</t>
  </si>
  <si>
    <t>CUMMINS ADRIATIC d.o.o.</t>
  </si>
  <si>
    <t>Ulica Glogovničke bune 23, Križevci</t>
  </si>
  <si>
    <t>Ulica kraljice Jelene 15, Dugopolje</t>
  </si>
  <si>
    <t>ĐURO ĐAKOVIC KOMPENZATORI d.o.o.</t>
  </si>
  <si>
    <t>Ulica 108. brigade ZNG 62, Slavonski Brod</t>
  </si>
  <si>
    <t>ČETKARSTVO,STOLARIJA GALATERIJA TRGOVINA</t>
  </si>
  <si>
    <t>ZAGREBAČKA 326, Varaždin</t>
  </si>
  <si>
    <t>ProElektronika d.o.o.</t>
  </si>
  <si>
    <t>Radnička cesta 177, Zagreb</t>
  </si>
  <si>
    <t>KONČAR - DISTRIBUTIVNI I SPECIJALNI TRANSFORMATORI D.D.</t>
  </si>
  <si>
    <t>ULICA JOSIPA MOKROVIĆA 8, Zagreb</t>
  </si>
  <si>
    <t>FEROMETAL D.O.O.</t>
  </si>
  <si>
    <t>BIŠEVSKA 9, Zagreb</t>
  </si>
  <si>
    <t xml:space="preserve"> 05196005525</t>
  </si>
  <si>
    <t>METAL  PLUS d.o.o.</t>
  </si>
  <si>
    <t>Obrtnička 5, Zagreb</t>
  </si>
  <si>
    <t>GORAN BULJANOVIĆ - ODVJETNIK GORAN BULJANOVIĆ</t>
  </si>
  <si>
    <t>trošak parničnog postupka</t>
  </si>
  <si>
    <t>NOVA CESTA 103, Zagreb</t>
  </si>
  <si>
    <t>DOMUS GRUPA d.o.o.</t>
  </si>
  <si>
    <t>Selska cesta 141, Zagreb</t>
  </si>
  <si>
    <t>Auto centar Vukojević</t>
  </si>
  <si>
    <t>KRALJA ZVONIMIRA 202, vinkovci</t>
  </si>
  <si>
    <t>Automehaničarski obrt "SOVA"</t>
  </si>
  <si>
    <t>4. GBR BB, Knin</t>
  </si>
  <si>
    <t>AUTO KUĆA BEBIĆ d.o.o.</t>
  </si>
  <si>
    <t>Hektorovićeva ulica 38D, Solin</t>
  </si>
  <si>
    <t>AUTO HRVATSKA AUTOMOBILI d.o.o.</t>
  </si>
  <si>
    <t>Radnička cesta 182, Zagreb</t>
  </si>
  <si>
    <t>DAL TRANS j.d.o.o.</t>
  </si>
  <si>
    <t>Predavec Križevački 21, Sveti Ivan Žabno</t>
  </si>
  <si>
    <t>Iskon Internet d.d.</t>
  </si>
  <si>
    <t>Specijalisticka ordinacija medicine rada i sporta</t>
  </si>
  <si>
    <t>Park K.P. Krešimira IV/6, Osijek</t>
  </si>
  <si>
    <t>PURIC d.o.o.</t>
  </si>
  <si>
    <t>Ulica Andrije Hebranga 54, Samobor</t>
  </si>
  <si>
    <t>PLATTNER CROATIA d.o.o.</t>
  </si>
  <si>
    <t>Zagrebačka cesta 143 A, Zagreb</t>
  </si>
  <si>
    <t>VD TEHNOFILTER  d.o.o</t>
  </si>
  <si>
    <t>Velikogorička 20 - Staro Čiće, Velika Gorica</t>
  </si>
  <si>
    <t>FORMA-LOK d.o.o.</t>
  </si>
  <si>
    <t>MESEKOV PUT 6, zagreb</t>
  </si>
  <si>
    <t>02222844635</t>
  </si>
  <si>
    <t>LEAL-LU OBRT ZA USLUGE, VL. ALLAN DŽEKO</t>
  </si>
  <si>
    <t>Bijenička cesta 135, Zagreb</t>
  </si>
  <si>
    <t>VENTA OPREMA d.o.o.</t>
  </si>
  <si>
    <t>Lanište 16, Zagreb</t>
  </si>
  <si>
    <t>IGMAR-ING d.o.o.</t>
  </si>
  <si>
    <t xml:space="preserve"> Ulica grada Chicaga 37, Zagreb</t>
  </si>
  <si>
    <t>FERO-TERM D.O.O.</t>
  </si>
  <si>
    <t>Gospodarska ulica 17, Donji Stupnik</t>
  </si>
  <si>
    <t>INDIGO SVIJET D.O.O.</t>
  </si>
  <si>
    <t>Lepavinski put 7, Zagreb</t>
  </si>
  <si>
    <t>SIPAS GALDOVO d.o.o.</t>
  </si>
  <si>
    <t>Galdovačka ulica 4, Sisak</t>
  </si>
  <si>
    <t>03122118779</t>
  </si>
  <si>
    <t>OKRETNI MOMENT d.o.o.</t>
  </si>
  <si>
    <t>Cenkovečka ulica 1, zagreb</t>
  </si>
  <si>
    <t>JAKSA D.O.O.</t>
  </si>
  <si>
    <t>TRINA obrt za trgovinu</t>
  </si>
  <si>
    <t>METAL-KOVIS d.o.o.</t>
  </si>
  <si>
    <t>KG ZELINA d.o.o.</t>
  </si>
  <si>
    <t xml:space="preserve">DAMA - D.P. </t>
  </si>
  <si>
    <t>PROM-VIDIJA d.o.o.</t>
  </si>
  <si>
    <t>IMP Termotehnika regulacija d.o.o.</t>
  </si>
  <si>
    <t>MAG COMMERCE d.o.o.</t>
  </si>
  <si>
    <t>ORBAN TEHNIKA D.O.O.</t>
  </si>
  <si>
    <t>VIKLER d.o.o.</t>
  </si>
  <si>
    <t>MUNJEL obrt za prozvodnju, vl. Hrvoje Hrkac</t>
  </si>
  <si>
    <t>SEALTECH D.O.O.</t>
  </si>
  <si>
    <t>SANTEK d.o.o.</t>
  </si>
  <si>
    <t>TAPESS, d. o. o.</t>
  </si>
  <si>
    <t>RMT GRUPA d.o.o.</t>
  </si>
  <si>
    <t>FESTO D.O.O.</t>
  </si>
  <si>
    <t>ELMAR INTERNATIONAL D.O.O.</t>
  </si>
  <si>
    <t>HAWE HIDRAVLIKA</t>
  </si>
  <si>
    <t>Zagrebačka cesta 194, Zagreb</t>
  </si>
  <si>
    <t>Stara cesta 14, Samobor</t>
  </si>
  <si>
    <t>TEHNOGUMA d.o.o. za proiz. i promet gumenih poizvoda</t>
  </si>
  <si>
    <t>Obrtnička ulica 1, Zagreb</t>
  </si>
  <si>
    <t>Mlinovac 1, Bjelovar</t>
  </si>
  <si>
    <t xml:space="preserve">VEK BJELOVAR </t>
  </si>
  <si>
    <t>Ulica Milutina Barača 4A, Sv Ivan Zelina</t>
  </si>
  <si>
    <t>Sajmišna cesta 6, Zagreb</t>
  </si>
  <si>
    <t>Maršala Tita 6, Čakovec</t>
  </si>
  <si>
    <t>Novozagrebačka 30, Zagreb</t>
  </si>
  <si>
    <t xml:space="preserve"> Marijana Haberlea 12, Zagreb</t>
  </si>
  <si>
    <t>Šlandrova 8, Ljubljana, Slovenija</t>
  </si>
  <si>
    <t>SI12081647</t>
  </si>
  <si>
    <t>Vinogradska cesta 79, Zagreb</t>
  </si>
  <si>
    <t>Milutina Barača 7, Rijeka</t>
  </si>
  <si>
    <t>Ul. Nikole Šubića Zrinskog 12A, Samobor</t>
  </si>
  <si>
    <t>Ulica Andrije Hebranga 6, Zadar</t>
  </si>
  <si>
    <t>Varaždinska ulica 138 f, Novi Marof</t>
  </si>
  <si>
    <t>06642747256</t>
  </si>
  <si>
    <t>Radna Zona Žegoti 5/C, Kastav</t>
  </si>
  <si>
    <t>Ulica Josipa Strganca 4, Zagreb</t>
  </si>
  <si>
    <t xml:space="preserve"> NOVA CESTA 181 A, Zagreb</t>
  </si>
  <si>
    <t>MOLEROVA 47, Beograd, Srbija</t>
  </si>
  <si>
    <t>Ob Dragi 7, Štore, Slovenija</t>
  </si>
  <si>
    <t>SI36052957</t>
  </si>
  <si>
    <t>KONČAR - ELEKTRIČNA  VOZILA  d.d.</t>
  </si>
  <si>
    <t>TEA-ELEKTRONIK D.O.O.</t>
  </si>
  <si>
    <t>Kopernikova ulica 124, Zagreb</t>
  </si>
  <si>
    <t>VINKOPROM D.O.O.</t>
  </si>
  <si>
    <t>00721719381</t>
  </si>
  <si>
    <t>Hrvoja Vukčić - Hrvatinića 108, Vinkovci</t>
  </si>
  <si>
    <t>TELUR D.O.O.</t>
  </si>
  <si>
    <t>Dubravkin trg 5, Zagreb</t>
  </si>
  <si>
    <t>EUROTIM d.o.o.</t>
  </si>
  <si>
    <t>Dubrovačka 51, Split</t>
  </si>
  <si>
    <t>MAR - MIR PROMET d.o.o.</t>
  </si>
  <si>
    <t>1.Ferenščica 71, Zagreb</t>
  </si>
  <si>
    <t>MARUŠIĆ 2, vl. Josip Marušić</t>
  </si>
  <si>
    <t>Matice hrvatske 12, Bjelovar</t>
  </si>
  <si>
    <t>OFFERTISIMA d.o.o.</t>
  </si>
  <si>
    <t>00643859701</t>
  </si>
  <si>
    <t>dr.Franje Tuđmana 33, Sv.Nedelja</t>
  </si>
  <si>
    <t>MEĐIMURKA BS d.o.o.</t>
  </si>
  <si>
    <t>Kukuljevićeva 41, Varaždin</t>
  </si>
  <si>
    <t>Put Brižina 19, Kaštel Sućurac</t>
  </si>
  <si>
    <t>MAG SISTEM d.o.o.</t>
  </si>
  <si>
    <t>TROŠENJE SREDSTAVA U VELJAČI 2024.</t>
  </si>
  <si>
    <t>naknada učeniku za naukovanje</t>
  </si>
  <si>
    <t>ZUBAK GRUPA D.O.O.</t>
  </si>
  <si>
    <t>tekuće održavanje automobila</t>
  </si>
  <si>
    <t>Zagrebačka cesta 117, Velika Gorica</t>
  </si>
  <si>
    <t>SAN MARKO D.O.O.</t>
  </si>
  <si>
    <t>Ulica Ivana Lackovića Croate 4, Odra</t>
  </si>
  <si>
    <t>EUROSIGMA D.O.O.</t>
  </si>
  <si>
    <t>INDUSTRIJSKA PNEUMATIKA D.O.O.</t>
  </si>
  <si>
    <t>Prudi 24, Zagreb</t>
  </si>
  <si>
    <t>HARDSOFT J.D.O.O.</t>
  </si>
  <si>
    <t>Ulica Ljudevita Gaja 62, Samobor</t>
  </si>
  <si>
    <t>TRAKTOR SERVIS D.O.O.</t>
  </si>
  <si>
    <t>Križevci, Prigorska ulica 52</t>
  </si>
  <si>
    <t>KAJFA PROIZVODNJA PVC STOLARIJE, d.o.o.</t>
  </si>
  <si>
    <t>Gornji Stupnik, Domovićeva 1a</t>
  </si>
  <si>
    <t>Staklo maas, vl. ALEN ANTONIO SUNARA</t>
  </si>
  <si>
    <t>Hercegovačka 45, 21000 Split</t>
  </si>
  <si>
    <t>Ce-Za-R d.o.o.</t>
  </si>
  <si>
    <t>Ulica Josipa Lončara 15, Zagreb</t>
  </si>
  <si>
    <t>03860945174</t>
  </si>
  <si>
    <t>ACS GmbH</t>
  </si>
  <si>
    <t>GMUND AM TEGERNSEE, Njemačka</t>
  </si>
  <si>
    <t>DE131166032</t>
  </si>
  <si>
    <t>ASTRAPROM d.o.o.</t>
  </si>
  <si>
    <t>Marinići 199, Viškovo</t>
  </si>
  <si>
    <t>Josipa Matasovića 1, Vinkovci</t>
  </si>
  <si>
    <t>STP 'AUTOKLUB VINKOVCI'</t>
  </si>
  <si>
    <t>tehnički pregled i registracija vozila</t>
  </si>
  <si>
    <t>AUTOKUĆA GAŠPARIĆ d.o.o.</t>
  </si>
  <si>
    <t>Pavleka Miškine 39,Čakovec</t>
  </si>
  <si>
    <t>BELL d.o.o.</t>
  </si>
  <si>
    <t>MIKLAVZ NA DRAVSKOM POLJU, Slovenija</t>
  </si>
  <si>
    <t>SI53053702</t>
  </si>
  <si>
    <t>BREMSKERL-REIBBELAGWERKE EMMERLING GMBH AND CO.KG</t>
  </si>
  <si>
    <t>Brakenhof 7, Estorf, Njemačka</t>
  </si>
  <si>
    <t>DE116162172</t>
  </si>
  <si>
    <t>CAMIRA FABRICS GMBH</t>
  </si>
  <si>
    <t>HOLZGERLINGEN, Njemačka</t>
  </si>
  <si>
    <t>FR64912181195</t>
  </si>
  <si>
    <t>CENTAR ZA VOZILA HRVATSKE, D.D.</t>
  </si>
  <si>
    <t>Capraška ulica 6, Zagreb</t>
  </si>
  <si>
    <t>CONRAD ELECTRONIC d.o.o. k.d.</t>
  </si>
  <si>
    <t>SI42992093253</t>
  </si>
  <si>
    <t>Ljubljanska cesta 66, Grosuplje, Slovenija</t>
  </si>
  <si>
    <t>kamate</t>
  </si>
  <si>
    <t>DEBENC PLUS d.o.o.</t>
  </si>
  <si>
    <t>Milutina Barača 54, Rijeka</t>
  </si>
  <si>
    <t>DEKA-MONT D.O.O.</t>
  </si>
  <si>
    <t>SI88064131</t>
  </si>
  <si>
    <t>Vurberk 14B, Maribor, Slovenija</t>
  </si>
  <si>
    <t>DK STROJNA OBRADA METALA</t>
  </si>
  <si>
    <t>ZAGORSKA SELA 33, ZAGORSKA SELA</t>
  </si>
  <si>
    <t>ISPLATA PO PRESUDIPovrv-859/2023-33</t>
  </si>
  <si>
    <t>MEHANIKA BOLKOVAC J.D.O.O.</t>
  </si>
  <si>
    <t>Donje selo 33, Fužine</t>
  </si>
  <si>
    <t>PURIĆ d.o.o.</t>
  </si>
  <si>
    <t>TEKNOXGROUP HRVATSKA D.O.O.</t>
  </si>
  <si>
    <t>Zastavnice 25D, Hrvatski Leskovac</t>
  </si>
  <si>
    <t>VINCORION AS GMBH</t>
  </si>
  <si>
    <t>DE812506475</t>
  </si>
  <si>
    <t>Feldstr.155. Wedel, Njemačka</t>
  </si>
  <si>
    <t>SIGA d.o.o.</t>
  </si>
  <si>
    <t>Međimurska ulica 12, Varaždin</t>
  </si>
  <si>
    <t>PADOVAN d.o.o.</t>
  </si>
  <si>
    <t>Bočac 84, Mali Lošinj</t>
  </si>
  <si>
    <t>NIACO d.o.o</t>
  </si>
  <si>
    <t>Ivana Kamenarića 9, Sveti Ivan Zelina</t>
  </si>
  <si>
    <t>USTANOVA ZA ZDRAV. SKRB ADRIA MEDIC</t>
  </si>
  <si>
    <t>Miroslava Bulešića 9, Pazin</t>
  </si>
  <si>
    <t>PULA HERCULANEA d.o.o.</t>
  </si>
  <si>
    <t>Trg I. istarske brigade 14, Pula</t>
  </si>
  <si>
    <t>SZVIT SZ-VLEKA IN TEHNIKA D.O.O.</t>
  </si>
  <si>
    <t>Zaloška cesta 217, Ljubljana, Slovenija</t>
  </si>
  <si>
    <t>SI99181762</t>
  </si>
  <si>
    <t xml:space="preserve">Specijalistička ord. med.  rada Grozdana Hanžek </t>
  </si>
  <si>
    <t>ZAGREBAČKA 94a, Varaždin</t>
  </si>
  <si>
    <t>KOMUNALNO PODUZEĆE D.O.O.</t>
  </si>
  <si>
    <t>Trg oluje 9, Knin</t>
  </si>
  <si>
    <t>EUROCAR TOGLIANI SRL</t>
  </si>
  <si>
    <t>Via Monte Ortrigara 2A/2B, Bareggio, Italija</t>
  </si>
  <si>
    <t>IT04604780157</t>
  </si>
  <si>
    <t>IBC GMBH</t>
  </si>
  <si>
    <t>ATU49961705</t>
  </si>
  <si>
    <t>Percostr. 31, Wien, Austrija</t>
  </si>
  <si>
    <t>Ru-Ve d.o.o.</t>
  </si>
  <si>
    <t>Prosinačka ulica 14, Kerestinec</t>
  </si>
  <si>
    <t>Marijana Haberlea 12, Zagreb</t>
  </si>
  <si>
    <t>INDOP d.o.o.</t>
  </si>
  <si>
    <t>Ognjena Price 3, Sisak</t>
  </si>
  <si>
    <t>EURO BUS  d.o.o.</t>
  </si>
  <si>
    <t>Veli Kijec 2, Omišalj</t>
  </si>
  <si>
    <t xml:space="preserve">Hidropneumatske komponente j.d.o.o. </t>
  </si>
  <si>
    <t>Ferenščica I. 47, Zagreb</t>
  </si>
  <si>
    <t xml:space="preserve">EMKA OKOVI d.o.o. </t>
  </si>
  <si>
    <t>Branimirova ulica 64, Slavonski Brod</t>
  </si>
  <si>
    <t>FINANCIJSKA AGENCIJA</t>
  </si>
  <si>
    <t>Ulica grada Vukovara 70, Zagreb</t>
  </si>
  <si>
    <t>SUPERIOR UGOSTITELJSTVO d.o.o.</t>
  </si>
  <si>
    <t>Ulica grada Gospića 3, Zagreb</t>
  </si>
  <si>
    <t>IN TAVO D.O.O.</t>
  </si>
  <si>
    <t>TIŠNJANSKA DUBRAVA 61, Tisno</t>
  </si>
  <si>
    <t>Fočanska 33, Zagreb</t>
  </si>
  <si>
    <t>VERONA DUE d.o.o.</t>
  </si>
  <si>
    <t>LASER INŽENJERING D.O.O.</t>
  </si>
  <si>
    <t>Sisačka cesta 11, Zagreb</t>
  </si>
  <si>
    <t>na</t>
  </si>
  <si>
    <t>PORIV J.D.O.O.</t>
  </si>
  <si>
    <t>Ulica Božidara Adžije 29, Zagreb</t>
  </si>
  <si>
    <t>07928840919</t>
  </si>
  <si>
    <t>TOBRAL d.o.o</t>
  </si>
  <si>
    <t>Bana Jelačića 65, Đakovo</t>
  </si>
  <si>
    <t>NAJAM RIWAL d.o.o.</t>
  </si>
  <si>
    <t>Stinice 26, Split</t>
  </si>
  <si>
    <t>METALAC KRAPINA d.o.o.</t>
  </si>
  <si>
    <t>Zagrebačka cesta 20, Krapina</t>
  </si>
  <si>
    <t>04847852112</t>
  </si>
  <si>
    <t>Kavanjinova 2, Split</t>
  </si>
  <si>
    <t>DOM ZDRAVLJA SPLITSKO-DALMATINSKE ŽUP</t>
  </si>
  <si>
    <t>POLI-FER d.o.o.</t>
  </si>
  <si>
    <t>Brdovečka ulica 17, Zaprešić</t>
  </si>
  <si>
    <t>KOMUNALNO ODRŽAVANJE d.o.o.</t>
  </si>
  <si>
    <t>Trg kralja Tomislava 7, Ploče</t>
  </si>
  <si>
    <t>ŽELJKO DELIĆ DELIĆ, VL. ŽELJKO DELIĆ</t>
  </si>
  <si>
    <t>Ljudevita Gaja 80, KRUŠEVICA</t>
  </si>
  <si>
    <t>DIAD-KONSTRUKCIJE D.O.O.</t>
  </si>
  <si>
    <t>Trebevićki ogranak 3 3</t>
  </si>
  <si>
    <t>NOVA CESTA 181 A, Zagreb</t>
  </si>
  <si>
    <t>LJEKARNA LUKAČIN-ZDRAVSTVENA USTANOVA ZA LJEKARNIČKE DJELATNOSTI</t>
  </si>
  <si>
    <t>troškovi zaštite na radu</t>
  </si>
  <si>
    <t>Markuševečka cesta 185,Zagreb</t>
  </si>
  <si>
    <t>KUHLER-RATH KG</t>
  </si>
  <si>
    <t>TRIER, Njemačka</t>
  </si>
  <si>
    <t>DE02755210362</t>
  </si>
  <si>
    <t>STAUBLI SYSTEMS S.R.L.</t>
  </si>
  <si>
    <t>CH13000058927</t>
  </si>
  <si>
    <t>Zurich / Switzerland</t>
  </si>
  <si>
    <t>Luka Pula d.o.o.</t>
  </si>
  <si>
    <t>Sv. Polikarpa 8, Pula</t>
  </si>
  <si>
    <t xml:space="preserve">DIGITALNI TAHOGRAF d.o.o. </t>
  </si>
  <si>
    <t>Ventilatorska 8A</t>
  </si>
  <si>
    <t>FÖRCH D.O.O.</t>
  </si>
  <si>
    <t>Buzinska cesta 58, Buzin</t>
  </si>
  <si>
    <t>PROINSTAL SKAREC j.d.o.o.</t>
  </si>
  <si>
    <t>Ulica Vladimira Nazora 51,  Sveti Ivan Zelina</t>
  </si>
  <si>
    <t>FEROPROMET D.O.O.</t>
  </si>
  <si>
    <t>Kraljevo, Srbija</t>
  </si>
  <si>
    <t>FRANZ K. APPEL E. K.</t>
  </si>
  <si>
    <t>Gimmeldinger Straße 65, Neustadt, Njemačka</t>
  </si>
  <si>
    <t>DE259028613</t>
  </si>
  <si>
    <t>DIMNJACARSKA OBRTNICKA ZADRUGA</t>
  </si>
  <si>
    <t>Sarajevska cesta 60 , Zagreb</t>
  </si>
  <si>
    <t>01254445043</t>
  </si>
  <si>
    <t>MAVRO INTERNATIONAL BV</t>
  </si>
  <si>
    <t>NL806334356B01</t>
  </si>
  <si>
    <t>Zaltbommel, Nizozemska</t>
  </si>
  <si>
    <t>FALA, obrt za auto usluge i hoteljerstvo</t>
  </si>
  <si>
    <t>smještaj radnika na službenom putu</t>
  </si>
  <si>
    <t>II TRNJANSKE LEDINE 18, ZAGREB</t>
  </si>
  <si>
    <t xml:space="preserve"> 06308159449</t>
  </si>
  <si>
    <t>TIM KABEL D.O.O.</t>
  </si>
  <si>
    <t>Savska cesta 103, Sesvete</t>
  </si>
  <si>
    <t>LUCIDA DIZAJN j.d.o.o.</t>
  </si>
  <si>
    <t>Predovečka ulica 11, Zagreb</t>
  </si>
  <si>
    <t>ZAVOD ZA JAVNO ZDRAVSTVO ŠIBENSKE ŽUP</t>
  </si>
  <si>
    <t>Matije Gupca 74, Šibenik</t>
  </si>
  <si>
    <t>Magazin Racunalni Sistemi d.o.o</t>
  </si>
  <si>
    <t>Prekratova 41, Zagreb</t>
  </si>
  <si>
    <t>POPIJAC-KOVINAR d.o.o.</t>
  </si>
  <si>
    <t>Velikogorička 18, Vukovina</t>
  </si>
  <si>
    <t>FRIGO-KOR d.o.o.</t>
  </si>
  <si>
    <t>Majstorska 11, Zagreb</t>
  </si>
  <si>
    <t>MACHATKA VERTRIEBSGES.M.B.H.</t>
  </si>
  <si>
    <t>Vienna, Austria</t>
  </si>
  <si>
    <t>ATU61700519</t>
  </si>
  <si>
    <t>M PLUS d.o.o.</t>
  </si>
  <si>
    <t>Jezdarska ulica 22, Maribor, Slovenija</t>
  </si>
  <si>
    <t>SI42258618</t>
  </si>
  <si>
    <t>GORICA STAKLO d.o.o.</t>
  </si>
  <si>
    <t>Sisačka 43, Velika Gorica</t>
  </si>
  <si>
    <t>HUTA BANKOVA Z.O.O.</t>
  </si>
  <si>
    <t>ul.Sobieskiego 24, Poljska</t>
  </si>
  <si>
    <t>PL8992910286</t>
  </si>
  <si>
    <t>PRVOMAJSKA SERVIS d.o.o</t>
  </si>
  <si>
    <t>Prigornica 25, Zagreb</t>
  </si>
  <si>
    <t>LUMIO21 D.O.O.</t>
  </si>
  <si>
    <t>Gradiška ulica 3, Zagreb</t>
  </si>
  <si>
    <t>BIKE SHOP d.o.o</t>
  </si>
  <si>
    <t>Trg Slavija br.6, Vukovar</t>
  </si>
  <si>
    <t>TERMOL d.o.o.</t>
  </si>
  <si>
    <t>Duga ulica 91, Vinkovci</t>
  </si>
  <si>
    <t>STATRON GMBH</t>
  </si>
  <si>
    <t>ATU46608602</t>
  </si>
  <si>
    <t>Gewerbepark 11,Austrija</t>
  </si>
  <si>
    <t>TRIDION D.O.O.</t>
  </si>
  <si>
    <t>Zapadna lozica 10, Zagreb</t>
  </si>
  <si>
    <t>AIR TRACTOR d.o.o.. HOBI CENTAR</t>
  </si>
  <si>
    <t>Jablanova 21, Osijek</t>
  </si>
  <si>
    <t>SPECIJALNA OPREMA -LUCKO d.o.o.</t>
  </si>
  <si>
    <t>Dolenica 20, Donji Stupnik</t>
  </si>
  <si>
    <t>MTB INZENJERING uvoz-izvoz d.o.o.</t>
  </si>
  <si>
    <t>SPB inzenjering d.o.o.</t>
  </si>
  <si>
    <t>Ružićeva 41, Rijeka</t>
  </si>
  <si>
    <t>T.T.T. d.o.o</t>
  </si>
  <si>
    <t>Novaki, Industrijski odvojak 8, Sveta Nedjelja</t>
  </si>
  <si>
    <t>PUMPA  SERVIS d.o.o.</t>
  </si>
  <si>
    <t>Josipa Andrića 4, Osijek</t>
  </si>
  <si>
    <t>TROŠENJE SREDSTAVA U OŽUJKU 2024.</t>
  </si>
  <si>
    <t>MENDIS-PROJEKT  D.O.O.</t>
  </si>
  <si>
    <t>Toplička cesta 27, Jakovlje</t>
  </si>
  <si>
    <t>AUTO-MAG D.O.O.</t>
  </si>
  <si>
    <t>Gornjostupnička 1/D, Gornji Stupnik</t>
  </si>
  <si>
    <t>PROIZVODNJA OPRUGA, ZAGREB</t>
  </si>
  <si>
    <t>Japetička 18, Zagreb</t>
  </si>
  <si>
    <t>VIJAK d.o.o.</t>
  </si>
  <si>
    <t>Biškupečka ul. 44, Varaždin</t>
  </si>
  <si>
    <t>KRAŠ d.d.</t>
  </si>
  <si>
    <t>Ravnice 48, Zagreb</t>
  </si>
  <si>
    <t>ADRIATIC OSIGURANJE D.D.</t>
  </si>
  <si>
    <t>Listopadska ulica 2, Zagreb</t>
  </si>
  <si>
    <t>premije osiguranja osoba i imovine</t>
  </si>
  <si>
    <t xml:space="preserve">HEP-PLIN d.o.o. </t>
  </si>
  <si>
    <t>Cara Hadrijana 7, Osijek</t>
  </si>
  <si>
    <t>MEĐIMURJE-PLIN d.o.o.</t>
  </si>
  <si>
    <t>uskrsnica</t>
  </si>
  <si>
    <t>zahtjev za naknadu štete HZMO-a</t>
  </si>
  <si>
    <t>VENTILATOR KLIMA TEHNIKA d.o.o.</t>
  </si>
  <si>
    <t>J.Novosela 23, Oborovo Bistransko</t>
  </si>
  <si>
    <t xml:space="preserve">CAMINUS j.d.o.o. </t>
  </si>
  <si>
    <t>06221600831</t>
  </si>
  <si>
    <t>Ulica Janka Jurkovića 5, Varaždin</t>
  </si>
  <si>
    <t>CE-ZA-R d.o.o.</t>
  </si>
  <si>
    <t>AUTO KLIMA HRASTINSKI</t>
  </si>
  <si>
    <t>Nova cesta 181, Zagreb</t>
  </si>
  <si>
    <t>Z-el d.o.o.</t>
  </si>
  <si>
    <t>Industrijska cesta 28, Sesvete</t>
  </si>
  <si>
    <t>Spec. ordinacija medicine rada i sporta Ilija Čelebić</t>
  </si>
  <si>
    <t>Straža 111, Viškovo</t>
  </si>
  <si>
    <t>AUTO STELLA</t>
  </si>
  <si>
    <t>EKA DOOEL SKOPJE A KNORR-BREMSE COMPANY</t>
  </si>
  <si>
    <t>MK4030005566313</t>
  </si>
  <si>
    <t>Skopje, Makedonija</t>
  </si>
  <si>
    <t>Feldstraße 9 d, Innsbruck, Austrija</t>
  </si>
  <si>
    <t xml:space="preserve">ANTOLOVIĆ Vl. Tomislav Antolović </t>
  </si>
  <si>
    <t>Kneza Domagoja 28, Andrijaševci</t>
  </si>
  <si>
    <t>KIRO GRADNJA, vl. Zoran Kirin</t>
  </si>
  <si>
    <t>Poljana Križevačka 77, Križevci</t>
  </si>
  <si>
    <t xml:space="preserve">MOTOMETER GmbH </t>
  </si>
  <si>
    <t>FRITZ-NEUERT-STRASSE 27, Njemačka</t>
  </si>
  <si>
    <t>DE811188293</t>
  </si>
  <si>
    <t xml:space="preserve">BRODOMERKUR d.d. </t>
  </si>
  <si>
    <t>Solinska 47, Split</t>
  </si>
  <si>
    <t>AUTO ARBANAS d.o.o.</t>
  </si>
  <si>
    <t>Sisačka 45, Velika Gorica</t>
  </si>
  <si>
    <t>JADRAN HOTEL d.o.o.</t>
  </si>
  <si>
    <t>Šetalište Andrije Kačića Miošića 1, Rijeka</t>
  </si>
  <si>
    <t>B.HEPWORTH &amp; COMPANY LTD</t>
  </si>
  <si>
    <t>4 MERSE ROAD,WORCESTERSHIRE, UK</t>
  </si>
  <si>
    <t>GB369302837</t>
  </si>
  <si>
    <t>AIRVA</t>
  </si>
  <si>
    <t>FR42480891381</t>
  </si>
  <si>
    <t>Cargy Pontoise, Francuska</t>
  </si>
  <si>
    <t>USTANOVA ZA ZDRAV. SKRB I MEDICINU RADA Dr. Tudor-Pavlić</t>
  </si>
  <si>
    <t>Dolac 3, Rijeka</t>
  </si>
  <si>
    <t xml:space="preserve">M.M.METAL j.d.o.o. </t>
  </si>
  <si>
    <t>HY-POWER PRODUKTIONS UND HANDELS GMBH</t>
  </si>
  <si>
    <t>St.Polten, Austrija</t>
  </si>
  <si>
    <t>ATU14698807</t>
  </si>
  <si>
    <t>VULKAN BERNHARD HACKFORTH GMBH I CO.KG</t>
  </si>
  <si>
    <t>Herne, Njemačka</t>
  </si>
  <si>
    <t>DE126690880</t>
  </si>
  <si>
    <t>oglašavanje</t>
  </si>
  <si>
    <t xml:space="preserve">TAU ON-LINE d.o.o. </t>
  </si>
  <si>
    <t>HEMCO D.O.O.</t>
  </si>
  <si>
    <t>Ante Starčevića 196B, Đakovo</t>
  </si>
  <si>
    <t>MTB INŽENJERING D.O.O.</t>
  </si>
  <si>
    <t>BIBUS ZAGREB D.O.O.</t>
  </si>
  <si>
    <t>Kovinska ulica 28, Zagreb</t>
  </si>
  <si>
    <t>ININ d.o.o.</t>
  </si>
  <si>
    <t>LIMES PLUS D.O.O.</t>
  </si>
  <si>
    <t>Kamenarka 29, Zagreb</t>
  </si>
  <si>
    <t xml:space="preserve">PKL  d.o.o. </t>
  </si>
  <si>
    <t>Martinkovac 112, Rijeka</t>
  </si>
  <si>
    <t xml:space="preserve">PKL zajednički obrt za proizvodnju ležajeva </t>
  </si>
  <si>
    <t>Dvorjanci 17 a, Duga resa</t>
  </si>
  <si>
    <t>CENTAR ZA RAČUNOVODSTVO I FINANCIJE D.O.O.</t>
  </si>
  <si>
    <t>stručna literatura</t>
  </si>
  <si>
    <t>1. Gajnički vidikovac br. 5, Zagreb</t>
  </si>
  <si>
    <t xml:space="preserve">SEALTECH D.O.O. </t>
  </si>
  <si>
    <t>CLIMOLUX - elektrotehnika vl. Dražen Papa</t>
  </si>
  <si>
    <t>Matije Gupca 6, Vrbovec</t>
  </si>
  <si>
    <t>07833393920</t>
  </si>
  <si>
    <t>Glogovničke bune 23, Križevci</t>
  </si>
  <si>
    <t>MAR MIR PROMET D.O.O.</t>
  </si>
  <si>
    <t>Ferenščica I. 71, Zagreb</t>
  </si>
  <si>
    <t>NOREGON SYSTEMS LLC</t>
  </si>
  <si>
    <t>56-1833355</t>
  </si>
  <si>
    <t>Greensbord, USA</t>
  </si>
  <si>
    <t xml:space="preserve">OKRETNI MOMENT d.o.o. </t>
  </si>
  <si>
    <t>Cenkovečka ulica 1, Zagreb</t>
  </si>
  <si>
    <t>KROMA FULLSTANDSMESSTECHNIK GMBH</t>
  </si>
  <si>
    <t>DE814697576</t>
  </si>
  <si>
    <t>Roctocker str. 9-10, Magdeburg, Njemačka</t>
  </si>
  <si>
    <t>TID-EXTRA D.O.O.</t>
  </si>
  <si>
    <t>Ulica Slatine 6, Mursko Središće</t>
  </si>
  <si>
    <t>DRVONA d.o.o.</t>
  </si>
  <si>
    <t>Antuna Mihanovića 7, Karlovac</t>
  </si>
  <si>
    <t>AUTOSET TUREK D.O.O.</t>
  </si>
  <si>
    <t>Gornja 51, Cirkovljan</t>
  </si>
  <si>
    <t>PILETIĆ D.O.O.</t>
  </si>
  <si>
    <t>Kaptolska 37, Zagreb</t>
  </si>
  <si>
    <t>HIMERA-INZ. D.O.O.</t>
  </si>
  <si>
    <t>Vinogradska 7/A, Bilje</t>
  </si>
  <si>
    <t>HIDRAULIKA FLEX d.o.o.</t>
  </si>
  <si>
    <t>Hrvoja Vukčić - Hrvatinića 118A, Vinkovci</t>
  </si>
  <si>
    <t>UNIVEL D.O.O.</t>
  </si>
  <si>
    <t>Našička ulica 6, Zagreb</t>
  </si>
  <si>
    <t>00956621867</t>
  </si>
  <si>
    <t>ispitivanje plinskih instalacija</t>
  </si>
  <si>
    <t xml:space="preserve">Zavod za istraživanje i razvoj sigurnosti d.o.o. </t>
  </si>
  <si>
    <t>05494093403</t>
  </si>
  <si>
    <t>Ulica grada Vukovara 68, Zagreb</t>
  </si>
  <si>
    <t>HIDRO-METAL PUMPE D.O.O.</t>
  </si>
  <si>
    <t>09409354546</t>
  </si>
  <si>
    <t>Varnica 4, Duga Resa</t>
  </si>
  <si>
    <t>KONČAR - INEM D.O.O.</t>
  </si>
  <si>
    <t>ILIRIC - EKO D.O.O.</t>
  </si>
  <si>
    <t>Dužice 19, Zagreb</t>
  </si>
  <si>
    <t>1KLIK d.o.o.</t>
  </si>
  <si>
    <t>Savska cesta 118, Zagreb</t>
  </si>
  <si>
    <t>HELUX D.O.O.</t>
  </si>
  <si>
    <t>Slavenskoga ulica 5, Zagreb</t>
  </si>
  <si>
    <t>EL-GRI d.o.o.</t>
  </si>
  <si>
    <t>Ulica grada Mainza 6, Zagreb</t>
  </si>
  <si>
    <t xml:space="preserve">MORLAK d.o.o. </t>
  </si>
  <si>
    <t xml:space="preserve">BOLF D.O.O. </t>
  </si>
  <si>
    <t xml:space="preserve">A2B EXPRESS LOGISTIKA d.o.o. </t>
  </si>
  <si>
    <t>Buzinski prilaz 36a, Zagreb</t>
  </si>
  <si>
    <t>Drage Stipca 4, Zagreb</t>
  </si>
  <si>
    <t>IMBUS d.o.o.</t>
  </si>
  <si>
    <t xml:space="preserve">LOST d.o.o. </t>
  </si>
  <si>
    <t>Ulica Kreše Golika 7, Zagreb</t>
  </si>
  <si>
    <t xml:space="preserve">STAMBENO KOMUNALNO GOSPODARSTVO D.O.O. </t>
  </si>
  <si>
    <t>INŽENJERSKI BIRO D.O.O.</t>
  </si>
  <si>
    <t>Ulica Vjekoslava Heinzela 4A, Zagreb</t>
  </si>
  <si>
    <t>VODOVOD OSIJEK d.o.o.</t>
  </si>
  <si>
    <t>Poljski Put 1, Osijek</t>
  </si>
  <si>
    <t>Topličnjak 2, Varaždinske Toplice</t>
  </si>
  <si>
    <t>MULLER D.O.O.</t>
  </si>
  <si>
    <t>Oreškovićeva ulica 6H/1, Zagreb</t>
  </si>
  <si>
    <t>PEGI D.O.O.</t>
  </si>
  <si>
    <t>PLODINE D.O.O.</t>
  </si>
  <si>
    <t>Radnička 30, Rijeka</t>
  </si>
  <si>
    <t>STUDENAC D.O.O.</t>
  </si>
  <si>
    <t>Četvrt Ribnjak 17, Omiš</t>
  </si>
  <si>
    <t>02023029348</t>
  </si>
  <si>
    <t>TROŠENJE SREDSTAVA U TRAVNJU 2024.</t>
  </si>
  <si>
    <t>isplata štete po nagodbi Pr-1/2024</t>
  </si>
  <si>
    <t xml:space="preserve">HYDAC D.O.O. ZA TRGOVINU </t>
  </si>
  <si>
    <t>Oreškovićeva 6c, Zagreb</t>
  </si>
  <si>
    <t>PETROL d.o.o.</t>
  </si>
  <si>
    <t>Savska Opatovina 36, Zagreb</t>
  </si>
  <si>
    <t>Ljudevita Posavskog 14/A, Split</t>
  </si>
  <si>
    <t>SAN MERKUR d.o.o.</t>
  </si>
  <si>
    <t>Zanatpromet-trgovina d.o.o.</t>
  </si>
  <si>
    <t>Strossmayerova 4, Virovotica</t>
  </si>
  <si>
    <t>LINKS d.o.o.</t>
  </si>
  <si>
    <t>Ljubljanska ulica 2 A, Sveta Nedjelja</t>
  </si>
  <si>
    <t>Ugostiteljstvo Piccolo d.o.o.</t>
  </si>
  <si>
    <t>07353483241</t>
  </si>
  <si>
    <t>Zelenjak 46, Zagreb</t>
  </si>
  <si>
    <t>naknada za korištenje OKFŠ</t>
  </si>
  <si>
    <t>SŽ - INFRASTRUKTURA d.o.o.</t>
  </si>
  <si>
    <t>SI94995737</t>
  </si>
  <si>
    <t>Kolodvorska ulica 11, Ljubljana, Slovenija</t>
  </si>
  <si>
    <t xml:space="preserve">ZAGREB DATA d.o.o. </t>
  </si>
  <si>
    <t>Hrvatskog proljeća 28, Zagreb</t>
  </si>
  <si>
    <t>PBZ LEASING d.o.o.</t>
  </si>
  <si>
    <t>Radnička cesta 44, Zagreb</t>
  </si>
  <si>
    <t>SR100243474</t>
  </si>
  <si>
    <t>Industrijska 27, Kraljevo, Srbija</t>
  </si>
  <si>
    <t>Karcher d.o.o.</t>
  </si>
  <si>
    <t>Samoborska cesta 169A, Zagreb</t>
  </si>
  <si>
    <t xml:space="preserve">PLINARA ISTOČNE SLAVONIJE d.o.o. </t>
  </si>
  <si>
    <t>Ohridska 17, Vinkovci</t>
  </si>
  <si>
    <t>SIRIUS d.o.o.</t>
  </si>
  <si>
    <t>Gospodarska zona 2, Belišće</t>
  </si>
  <si>
    <t>DEGO-PROMET d.o.o.</t>
  </si>
  <si>
    <t>Augusta Šenoe 3, Donji Kraljevec</t>
  </si>
  <si>
    <t>BUBA ART j.d.o.o.</t>
  </si>
  <si>
    <t>Kneza Mislava 7, Vinkovci</t>
  </si>
  <si>
    <t>KOHL24.de  GmbH</t>
  </si>
  <si>
    <t>DE327377339</t>
  </si>
  <si>
    <t>Ostrach, Njemačka</t>
  </si>
  <si>
    <t>HOLDING KORPORACIJA "KRUŠIK" A.D.</t>
  </si>
  <si>
    <t>SR177012005</t>
  </si>
  <si>
    <t>Valjevo, Srbija</t>
  </si>
  <si>
    <t>OMEGA VIKO d.o.o.</t>
  </si>
  <si>
    <t>Podravska ulica 15, Varaždin</t>
  </si>
  <si>
    <t>RADNO PRAVO ROSIP d.o.o.</t>
  </si>
  <si>
    <t>Ulica dr. Milana Rojca 24, Zagreb</t>
  </si>
  <si>
    <t xml:space="preserve">UNIVERZAL D.O.O </t>
  </si>
  <si>
    <t>Cehovska ulica 10, Varaždin</t>
  </si>
  <si>
    <t>CROATIA OSIGURANJE d.d.</t>
  </si>
  <si>
    <t>registracija sl vozila -AO</t>
  </si>
  <si>
    <t>Ulica Vatroslava Jagića 33, Zagreb</t>
  </si>
  <si>
    <t>ANGERONA d.o.o.</t>
  </si>
  <si>
    <t>Ulica Davorina Bazjanca 9, Zagreb</t>
  </si>
  <si>
    <t>AMADIO CLIMATIZZAZIONE MOBILE</t>
  </si>
  <si>
    <t>IT03449060262</t>
  </si>
  <si>
    <t>Vazzola, Italija</t>
  </si>
  <si>
    <t>SERVIKOM KOMPRESORJI d.o.o.</t>
  </si>
  <si>
    <t>SI21550310</t>
  </si>
  <si>
    <t>Višnja Gora, Slovenija</t>
  </si>
  <si>
    <t>KANSAI HELIOS Croatia d.o.o.</t>
  </si>
  <si>
    <t>Radnička cesta 173 D, Zagreb</t>
  </si>
  <si>
    <t xml:space="preserve">MONY D.O.O. </t>
  </si>
  <si>
    <t>SR125346699</t>
  </si>
  <si>
    <t>Subotica, Srbija</t>
  </si>
  <si>
    <t>KONČAR   D.D. DISTRIB. I SPECIJ. TRANSFORMATORI</t>
  </si>
  <si>
    <t>Ulica Josipa Mokrovića 8, Zagreb</t>
  </si>
  <si>
    <t>M.B. SEMINAR d.o.o.</t>
  </si>
  <si>
    <t>Ulica Frana Folnegovića 6D, Zagreb</t>
  </si>
  <si>
    <t>ALFA TIM d.o.o.</t>
  </si>
  <si>
    <t>Čulinečka Cesta 25, Zagreb</t>
  </si>
  <si>
    <t>CONTAINEX CONTAINER-HANDELSGESELLSCHAFT m.b.H</t>
  </si>
  <si>
    <t>DE73044819081</t>
  </si>
  <si>
    <t>Neudorf, Njemačka</t>
  </si>
  <si>
    <t>KONČAR - APARATI I POSTROJENJA d.o.o.</t>
  </si>
  <si>
    <t>Borongajska cesta 81c, Zagreb</t>
  </si>
  <si>
    <t>˝METALNA GALANTERIJA˝  OBRT ZA IZRADU SPIRALNIH OPRUGA</t>
  </si>
  <si>
    <t>Gračačka 5A, Zagreb</t>
  </si>
  <si>
    <t>Ksaverska cesta 2, Zagreb</t>
  </si>
  <si>
    <t>Institut za medicinska istraživanja i medicinu rada</t>
  </si>
  <si>
    <t>RADIONICA ZA IZRADU ZUPČASTIH I PUŽNIH PRIJENOSA</t>
  </si>
  <si>
    <t>JANDRIŠEVA 5,  VELIKA GORICA</t>
  </si>
  <si>
    <t>CENTAR ZA VOZILA HRVATSKE D.D.</t>
  </si>
  <si>
    <t>HAWE HIDRAVLIKA d.o.o.</t>
  </si>
  <si>
    <t>KONČAR GENERATORI I MOTORI d.o.o.</t>
  </si>
  <si>
    <t>FARELLOVO ŠETALIŠTE 22, Zagreb</t>
  </si>
  <si>
    <t>IN TIME D.O.O.</t>
  </si>
  <si>
    <t>Velika cesta 78, Zagreb</t>
  </si>
  <si>
    <t>trošak prijevoza i špedicije</t>
  </si>
  <si>
    <t xml:space="preserve">Učilište Vozač, ustanova za obrazovanje odraslih </t>
  </si>
  <si>
    <t>Ventilatorska 8a, Zagreb</t>
  </si>
  <si>
    <t>SYNERGIA PROJEKT d.o.o.</t>
  </si>
  <si>
    <t>Ulica 43. istarske divizije 28, Pula</t>
  </si>
  <si>
    <t>MER.TECH-METALI d.o.o.</t>
  </si>
  <si>
    <t>Školska 25/B, Lukavec</t>
  </si>
  <si>
    <t>ime System  GmbH</t>
  </si>
  <si>
    <t>DE321235039</t>
  </si>
  <si>
    <t>Berlin, Njemačka</t>
  </si>
  <si>
    <t>PMDE MOUSER ELECTRONICS INC</t>
  </si>
  <si>
    <t>FR27512466913</t>
  </si>
  <si>
    <t>Fontenay Aous Bois, Francuska</t>
  </si>
  <si>
    <t>INFO PULS d.o.o.</t>
  </si>
  <si>
    <t>Ulica Josipa Pupačića 1, Zagreb</t>
  </si>
  <si>
    <t>KOLPA d.d</t>
  </si>
  <si>
    <t>Novo Mesto. Slovenija</t>
  </si>
  <si>
    <t>SI92085911</t>
  </si>
  <si>
    <t>ZAGREBAČKI EKOLOŠ. SANITAC. HIGIJEN. SERVIS d.o.o.</t>
  </si>
  <si>
    <t>Kustošijanska 8, Zagreb</t>
  </si>
  <si>
    <t>deratizacija i dezinfekcija</t>
  </si>
  <si>
    <t>KLIMA ZIRDUM d.o.o.</t>
  </si>
  <si>
    <t>Tuheljska ulica 3, Zagreb</t>
  </si>
  <si>
    <t>DEKOR D.O.O.</t>
  </si>
  <si>
    <t>Kopilica 12, Split</t>
  </si>
  <si>
    <t>BOLTANO d.o.o.</t>
  </si>
  <si>
    <t>Gundulićeva 10, Split</t>
  </si>
  <si>
    <t>GUMIIMPEX-GRP d.o.o.</t>
  </si>
  <si>
    <t>MEDIOTEHNA d.o.o.</t>
  </si>
  <si>
    <t>Jure Kaštelana 4, Zagreb</t>
  </si>
  <si>
    <t>Mihovila Pavleka Miškine 64C, Varaždin</t>
  </si>
  <si>
    <t>DIV GRUPA d.o.o.</t>
  </si>
  <si>
    <t>Bobovica 10/A, Samobor</t>
  </si>
  <si>
    <t xml:space="preserve">Merkantile d.d </t>
  </si>
  <si>
    <t>Vrtni put 8, Zagreb</t>
  </si>
  <si>
    <t>ZUBAK GRUPA d.o.o.</t>
  </si>
  <si>
    <t>Zagrebačka 117, Velika Gorica</t>
  </si>
  <si>
    <t xml:space="preserve">AGRO-DOM  TRGOVINA I SERVIS POLJOPRIV.STROJEVA </t>
  </si>
  <si>
    <t>Bunićeva 20, Zagreb</t>
  </si>
  <si>
    <t>EUROVENT SISTEMI d.o.o</t>
  </si>
  <si>
    <t>Ulica Zinke Kunc 4, Zagreb</t>
  </si>
  <si>
    <t xml:space="preserve">TITAN-ZAGREB d.o.o. </t>
  </si>
  <si>
    <t>Kovinska ulica 27, Zagreb</t>
  </si>
  <si>
    <t>SERVIS INVEST  MRKONJIĆ d.o.o.</t>
  </si>
  <si>
    <t>Josipa Jovića 51, Split</t>
  </si>
  <si>
    <t xml:space="preserve">ELEKTROKOVINA  ADRIA D.O.O. </t>
  </si>
  <si>
    <t>Kopilica 62, Split</t>
  </si>
  <si>
    <t>AMPER d.o.o.</t>
  </si>
  <si>
    <t>Slavenskoga ulica 1, Zagreb</t>
  </si>
  <si>
    <t xml:space="preserve">FOERCH d.o.o </t>
  </si>
  <si>
    <t>LCC LESNI CENTER d.o.o.</t>
  </si>
  <si>
    <t>WIKA GmbH</t>
  </si>
  <si>
    <t>ATU13805300</t>
  </si>
  <si>
    <t>Wien, Austrija</t>
  </si>
  <si>
    <t>SI66958261</t>
  </si>
  <si>
    <t>Novo Mesto, Slovenija</t>
  </si>
  <si>
    <t>TROŠENJE SREDSTAVA U SVIBNJU 2024.</t>
  </si>
  <si>
    <t>KONČAR MES d.o.o.</t>
  </si>
  <si>
    <t>naknada za rođenje djeteta</t>
  </si>
  <si>
    <t>VODOMATERIJAL D.D.</t>
  </si>
  <si>
    <t>Sajmište 174, Vukovar</t>
  </si>
  <si>
    <t>TRGO-LEPTIR PROIZVODNJA I TRGOVINA D.O.O.</t>
  </si>
  <si>
    <t>Radnička 41, Rijeka</t>
  </si>
  <si>
    <t>VAR d.o.o.</t>
  </si>
  <si>
    <t>Ulica Ivana Keleka 18 a, Sesvete</t>
  </si>
  <si>
    <t>KRALJA ZVONIMIRA 202, Vinkovci</t>
  </si>
  <si>
    <t>MUTHGASSE 22, Wien, Austrija</t>
  </si>
  <si>
    <t>BATEGU GUMMITECHNOLOGIE GMBH &amp; CO KG</t>
  </si>
  <si>
    <t>ATU71353714</t>
  </si>
  <si>
    <t>ETEGO GMBH</t>
  </si>
  <si>
    <t>DE812930460</t>
  </si>
  <si>
    <t>ZWINGENBURGSTRASSE 28, Njemačka</t>
  </si>
  <si>
    <t>KOVINOTOKARSKA RADIONICA CERNA VL. IVAN JUKIĆ</t>
  </si>
  <si>
    <t>KOLODVORSKA 47, Cerna</t>
  </si>
  <si>
    <t>GRAFIČKI OBRT STUDIO P</t>
  </si>
  <si>
    <t>Čakovečka 84, Nedelišće</t>
  </si>
  <si>
    <t>KUGEL - UND ROLLENLAGERWERG LEIPZIG GMBH</t>
  </si>
  <si>
    <t>DE255727203</t>
  </si>
  <si>
    <t>GUTENBERGSTRASSE 6, Njemačka</t>
  </si>
  <si>
    <t>PRVOMAJSKA Zagreb TVORNICA ALATNIH STROJEVA</t>
  </si>
  <si>
    <t>PRIGORNICA 25, Zagreb</t>
  </si>
  <si>
    <t>II LEDENIČKI ODVOJAK 2A, Zagreb</t>
  </si>
  <si>
    <t>Trgovački obrt "MARIĆ COMMERCE", vl. Ivica Marić</t>
  </si>
  <si>
    <t>7. GBR 24, KNIN</t>
  </si>
  <si>
    <t>ConColor d.o.o.</t>
  </si>
  <si>
    <t>Ljudevita Posavskog 8, Sesveta</t>
  </si>
  <si>
    <t>Maksimilijana Vrhovca 11, Karlovac</t>
  </si>
  <si>
    <t>COMEL d.o.o.</t>
  </si>
  <si>
    <t>SVIJET MEDIJA D.O.O.</t>
  </si>
  <si>
    <t>Trg Drage Iblera 10, Zagreb</t>
  </si>
  <si>
    <t>08622180689</t>
  </si>
  <si>
    <t>Schunk Carbon Technology GmbH</t>
  </si>
  <si>
    <t>METAL KRMPOTIĆ d.o.o.</t>
  </si>
  <si>
    <t>Samoborska cesta 230, Zagreb</t>
  </si>
  <si>
    <t>09304335375</t>
  </si>
  <si>
    <t>KLIMA KONCEPT d.o.o.</t>
  </si>
  <si>
    <t>R. Boškovića 13, Split</t>
  </si>
  <si>
    <t>FERO - TERM D.O.O.</t>
  </si>
  <si>
    <t>HELMHOLZ &amp; PAULI GmbH</t>
  </si>
  <si>
    <t>DE114163236</t>
  </si>
  <si>
    <t>FRANKFURT/M, Njemačka</t>
  </si>
  <si>
    <t>ELTRA MG d.o.o.</t>
  </si>
  <si>
    <t>Prigornica 2, Zagreb</t>
  </si>
  <si>
    <t>TEHNOZAVOD-MARUŠIĆ d.o.o.</t>
  </si>
  <si>
    <t>Podbrežje XIII. 26, Zagreb</t>
  </si>
  <si>
    <t>SERVIS PERKOVIĆ d.o.o. za trgovinu i usluge</t>
  </si>
  <si>
    <t>Stubička ulica 188, Zaprešić</t>
  </si>
  <si>
    <t>SAMPOS d.o.o.</t>
  </si>
  <si>
    <t>Svetonedeljska 4/D, Samobor</t>
  </si>
  <si>
    <t>Info-kod d.o.o.</t>
  </si>
  <si>
    <t>Dinarski put 1/b,  Zagreb</t>
  </si>
  <si>
    <t>ORKAN, OBRT ZA UGOSTITELJSTVO, VL. RAJKO TOMAS</t>
  </si>
  <si>
    <t>BUKOVAČKA 6, ZAGREB</t>
  </si>
  <si>
    <t>HRVATSKO DRUŠTVO ŽELJEZNIČKIH INŽENJERA</t>
  </si>
  <si>
    <t>PETRINJSKA 89, Zagreb</t>
  </si>
  <si>
    <t>troškovi oglašavanja</t>
  </si>
  <si>
    <t>ALMA CAREER CROATIA d.o.o.</t>
  </si>
  <si>
    <t>INDUSTRIJSKA PNEUMATIKA d.o.o.</t>
  </si>
  <si>
    <t>IBC GmbH</t>
  </si>
  <si>
    <t>CI.ERRE.A. DI MANUELE MARIA LUCIA &amp; C. SAS</t>
  </si>
  <si>
    <t>Via Gerbidi 6, Italija</t>
  </si>
  <si>
    <t>IT01874590027</t>
  </si>
  <si>
    <t>TERMOCENTER d.o.o.</t>
  </si>
  <si>
    <t>ZALOŠKA CESTA 149, Slovenija</t>
  </si>
  <si>
    <t>SI69606595</t>
  </si>
  <si>
    <t>HALCOM TRADE D.O.O.</t>
  </si>
  <si>
    <t>Gospodarska Ulica 40, Varaždin</t>
  </si>
  <si>
    <t>SAFIR d.o.o. za trgovinu i usluge</t>
  </si>
  <si>
    <t>Horvaćanska cesta 17, Zagreb</t>
  </si>
  <si>
    <t>TKANINA I PRIBOR</t>
  </si>
  <si>
    <t>Boškovićeva 15, Zagreb</t>
  </si>
  <si>
    <t>Ulbrich Hidroavtomatika d.o.o.</t>
  </si>
  <si>
    <t>SI61852295</t>
  </si>
  <si>
    <t>HOERBIGER SERVICE HUNGARIA</t>
  </si>
  <si>
    <t>Bagoly ut. 7, Mađarska</t>
  </si>
  <si>
    <t>HU11823881</t>
  </si>
  <si>
    <t>LUBCON d.o.o.</t>
  </si>
  <si>
    <t>MATIJE GUPCA 2, Karlovac</t>
  </si>
  <si>
    <t>ELLABO  D.O.O.</t>
  </si>
  <si>
    <t>KAMENARKA 24, Zagreb</t>
  </si>
  <si>
    <t>CANDEX INTERLIFT d.o.o.</t>
  </si>
  <si>
    <t>01052971900</t>
  </si>
  <si>
    <t>II. Resnik 20, Zagreb</t>
  </si>
  <si>
    <t>CEDAR AGRO d.o.o.</t>
  </si>
  <si>
    <t>Kalnička 4, Novi Marof</t>
  </si>
  <si>
    <t>TRANSFER MULTISORT ELEKTRONIK Sp. z.o.o.</t>
  </si>
  <si>
    <t>Ul. Ustronna 41, Poljska</t>
  </si>
  <si>
    <t>PL7290108984</t>
  </si>
  <si>
    <t>Ukupno u svibnju 2024.</t>
  </si>
  <si>
    <t>Ukupno u travnju 2024.</t>
  </si>
  <si>
    <t>Ukupno u ožujku 2024.</t>
  </si>
  <si>
    <t>Ukupno u veljači 2024.</t>
  </si>
  <si>
    <t>Ukupno u siječnju 2024.</t>
  </si>
  <si>
    <t>TROŠENJE SREDSTAVA U LIPNJU 2024.</t>
  </si>
  <si>
    <t>zatezne kamate</t>
  </si>
  <si>
    <t>HATCH &amp; KIRK INC.</t>
  </si>
  <si>
    <t>98107/St. Seattle Washington/USA</t>
  </si>
  <si>
    <t>HORVAT d.o.o.</t>
  </si>
  <si>
    <t>Stjepana Radića 122, Sirač</t>
  </si>
  <si>
    <t>ELMARK GRUPA d.o.o.</t>
  </si>
  <si>
    <t>Ventilatorska 20, Zagreb</t>
  </si>
  <si>
    <t>HEXMAT d.o.o.</t>
  </si>
  <si>
    <t>02427662343</t>
  </si>
  <si>
    <t>Sv. L. Bogdana Mandića 243/a, Osijek</t>
  </si>
  <si>
    <t>Kolodvorska 47, Cerna</t>
  </si>
  <si>
    <t>SECHERON SA</t>
  </si>
  <si>
    <t>CH106045065</t>
  </si>
  <si>
    <t>Geneva, Švicarska</t>
  </si>
  <si>
    <t>Ukupno u lipnju 2024.</t>
  </si>
  <si>
    <t>AMRA CHAUVIN ARNOUX GROUP</t>
  </si>
  <si>
    <t>IT02025350154</t>
  </si>
  <si>
    <t>Via Sant'Ambrodio 23/25, Italija</t>
  </si>
  <si>
    <t>FORMA PURUS d.o.o.</t>
  </si>
  <si>
    <t>Stara cesta 32B, Hrvatski Leskovac</t>
  </si>
  <si>
    <t>ANTOLOVIĆ Vl. Tomislav Antolović</t>
  </si>
  <si>
    <t>KOVIS d.o.o.</t>
  </si>
  <si>
    <t>SI15409954</t>
  </si>
  <si>
    <t>Brezina 102, Brežice, Slovenija</t>
  </si>
  <si>
    <t>EUROPAPIER ADRIA d.o.o.</t>
  </si>
  <si>
    <t>01913481578</t>
  </si>
  <si>
    <t>Slavonska avenija 65, Sesvete</t>
  </si>
  <si>
    <t>BIJUK HPC d.o.o.</t>
  </si>
  <si>
    <t>Vrbovec 1a, Vrbovec Samoborski</t>
  </si>
  <si>
    <t>AKT INTEGRA j.d.o.o.</t>
  </si>
  <si>
    <t>Čret 101/A, Zagreb</t>
  </si>
  <si>
    <t>intelektualne usluge</t>
  </si>
  <si>
    <t>Samoborska cesta 310, Zagreb</t>
  </si>
  <si>
    <t>TEB - poslovno savjetovanje d.o.o.</t>
  </si>
  <si>
    <t>Trg žrtava fašizma 15/I, Zagreb</t>
  </si>
  <si>
    <t>VLADIKE NIKOLAJA 59, Valjevo, Srbija</t>
  </si>
  <si>
    <t>KD VODOVOD I KANALIZACIJA d.o.o.</t>
  </si>
  <si>
    <t>P.O.C. d.o.o. za trgovinu i usluge</t>
  </si>
  <si>
    <t>Ulica Josipa Stadlera 67, Zagreb</t>
  </si>
  <si>
    <t>PROIZVODNJA GRABOVAC j.d.o.o.</t>
  </si>
  <si>
    <t>UL.HRVATSKIH BRANITELJA 52, Donji Proložac</t>
  </si>
  <si>
    <t>BRERA SISTEMI d.o.o.</t>
  </si>
  <si>
    <t>Drage Gervaisa 8, Zagreb</t>
  </si>
  <si>
    <t>DAMA - D.P. d.o.o.</t>
  </si>
  <si>
    <t>Haberlea Marijana 12, Zagreb</t>
  </si>
  <si>
    <t>ZAVOD ZA JAVNO ZDRAVSTVO ŽUP.SPLITSKO-DALMATINSKE</t>
  </si>
  <si>
    <t>Damir Memić</t>
  </si>
  <si>
    <t>METAL PRODUCT d.o.o.</t>
  </si>
  <si>
    <t>Đačka 70, Zagreb</t>
  </si>
  <si>
    <t>ATTERO TIM d.o.o.</t>
  </si>
  <si>
    <t>Vukomerec 45, Zagreb</t>
  </si>
  <si>
    <t>AMIRONIC LTD</t>
  </si>
  <si>
    <t>IL511222184</t>
  </si>
  <si>
    <t>PETACH-TIKVA, Izrael</t>
  </si>
  <si>
    <t xml:space="preserve">OCW Outdoor Camping World Srl </t>
  </si>
  <si>
    <t>IT02999190347</t>
  </si>
  <si>
    <t>Strada della Repubblica 41, Italija</t>
  </si>
  <si>
    <t>KONČAR-KUĆANSKI APARATI d.d.</t>
  </si>
  <si>
    <t>Slavonska avenija 16, Zagreb</t>
  </si>
  <si>
    <t>VLADIMIRA NAZORA 5, Metković</t>
  </si>
  <si>
    <t>Dom zdravlja Ogulin</t>
  </si>
  <si>
    <t>Ul. Bernardina Frankopana 14, Ogulin</t>
  </si>
  <si>
    <t>OPREMA POD TLAKOM d.o.o.</t>
  </si>
  <si>
    <t>07435417708</t>
  </si>
  <si>
    <t>Ulica kneza Branimira 22, Zagreb</t>
  </si>
  <si>
    <t>tek.održavanje kotlovnica, plinskih instalacija</t>
  </si>
  <si>
    <t>Wabtec Netherlands BV</t>
  </si>
  <si>
    <t>NL856195212B01</t>
  </si>
  <si>
    <t>VRIESLANTLAAN 6, Nizozemska</t>
  </si>
  <si>
    <t>BEDIA Motorentechnik GmbH &amp; Co.KG</t>
  </si>
  <si>
    <t>DE814232070</t>
  </si>
  <si>
    <t>Gewerbepark an der A6, Njemačka</t>
  </si>
  <si>
    <t>PRINT STUDIO D.O.O.</t>
  </si>
  <si>
    <t>Zavrtnica 17, Zagreb</t>
  </si>
  <si>
    <t>TOPMAX AGRO d.o.o.</t>
  </si>
  <si>
    <t>04643406755</t>
  </si>
  <si>
    <t>Sunčana ulica  5, Zambratija</t>
  </si>
  <si>
    <t>ZAVOD ZA ZAVARIVANJE I TOPLINSKU TEHNOLOGIJU d.o.o</t>
  </si>
  <si>
    <t>03045687053</t>
  </si>
  <si>
    <t>ULICA GRADA VUKOVARA 68, Zagreb</t>
  </si>
  <si>
    <t>Franz K. Appel e.K.</t>
  </si>
  <si>
    <t>Gimmeldinger Strasse 65, Njemačka</t>
  </si>
  <si>
    <t>SOFRAT OSIJEK d.o.o.</t>
  </si>
  <si>
    <t>Frankopanska 99, Osijek</t>
  </si>
  <si>
    <t>NOVOLINE DARUVAR d.o.o.</t>
  </si>
  <si>
    <t>Podborska 4/A, Daruvar</t>
  </si>
  <si>
    <t>ILIRIC-EKO d.o.o.</t>
  </si>
  <si>
    <t>GEWINDE oprema za industriju</t>
  </si>
  <si>
    <t>Josipa Jurja Strossmayera 129, Osijek</t>
  </si>
  <si>
    <t>GRAD PLOČE</t>
  </si>
  <si>
    <t>ANITON d.o.o.</t>
  </si>
  <si>
    <t>SI39639894</t>
  </si>
  <si>
    <t>Cesta na Brdo 17, Ljubljana, Slovenija</t>
  </si>
  <si>
    <t>DOWALDWERKE BREMEN GMBH</t>
  </si>
  <si>
    <t>DE301359833</t>
  </si>
  <si>
    <t>RICHARD-DUNKEL-STRASSE 120, Njemačka</t>
  </si>
  <si>
    <t>HOTEL VARAŽDIN d.o.o.</t>
  </si>
  <si>
    <t>Trg kralja Petra Svačića 1A, Varaždin</t>
  </si>
  <si>
    <t>trošak smještaja radnika na sl. putu</t>
  </si>
  <si>
    <t>DINOP d.o.o.</t>
  </si>
  <si>
    <t>00042324329</t>
  </si>
  <si>
    <t>PRIGORSKA 9, SOBLINEC, Sesvete</t>
  </si>
  <si>
    <t>BRTVILA-KOMERC d.o.o.</t>
  </si>
  <si>
    <t>00620391982</t>
  </si>
  <si>
    <t>Ulica Vjekoslava Babukića 12, Zagreb</t>
  </si>
  <si>
    <t>DOM ZDRAVLJA SPLITSKO-DALMATINSKE ŽUP. SPLIT</t>
  </si>
  <si>
    <t>TROŠENJE SREDSTAVA U SRPNJU 2024.</t>
  </si>
  <si>
    <t>regres</t>
  </si>
  <si>
    <t>MESEKOV PUT 6, Zagreb</t>
  </si>
  <si>
    <t>TOKIĆ D.O.O</t>
  </si>
  <si>
    <t>POLI-MIX d.o.o.</t>
  </si>
  <si>
    <t>Šapjane 73, Šapjane</t>
  </si>
  <si>
    <t>EUROMAINT RAIL AB</t>
  </si>
  <si>
    <t>SOLNA, BOX 606, Švedska</t>
  </si>
  <si>
    <t>MENDIS-PROJEKT  d.o.o.</t>
  </si>
  <si>
    <t>MALTAR d.o.o.</t>
  </si>
  <si>
    <t>Ulica Franca Prešerna 1, Varaždin</t>
  </si>
  <si>
    <t>JELEN PROFESSIONAL d.o.o.</t>
  </si>
  <si>
    <t>01663410483</t>
  </si>
  <si>
    <t>Braće Radić 37A, Belica</t>
  </si>
  <si>
    <t>Zavod za istraživanje i razvoj sigurnosti d.o.o.</t>
  </si>
  <si>
    <t>Ul.grada Vukovara 68, Zagreb</t>
  </si>
  <si>
    <t>BAYHAM HOLDINGS LIMITED</t>
  </si>
  <si>
    <t>GB19896418</t>
  </si>
  <si>
    <t>BASINGSTOKE  HANTS RG24 8PG, UK</t>
  </si>
  <si>
    <t>WIEN d.o.o.</t>
  </si>
  <si>
    <t>04085141361</t>
  </si>
  <si>
    <t>Sutlanska 14, Osijek</t>
  </si>
  <si>
    <t>PLUS HOSTING GRUPA D.O.O.</t>
  </si>
  <si>
    <t>Nobileova ulica 20, Pula</t>
  </si>
  <si>
    <t>SCHRACK TECHNIK D.O.O.</t>
  </si>
  <si>
    <t>ALFASOL D.O.O.</t>
  </si>
  <si>
    <t>Ulica kneza Branimira 189, Zagreb</t>
  </si>
  <si>
    <t>TUŠ D.O.O.</t>
  </si>
  <si>
    <t>Vrh Visoke 137, Split</t>
  </si>
  <si>
    <t>HOBI CENTAR d.o.o.</t>
  </si>
  <si>
    <t>Bana Jelačića 59, Vinkovci</t>
  </si>
  <si>
    <t>POLJO-JOSO d.o.o.</t>
  </si>
  <si>
    <t>Vernička 5a, Gornji Stupnik</t>
  </si>
  <si>
    <t>EKO-DERATIZACIJA D.O.O.</t>
  </si>
  <si>
    <t>Črnkovečka 9 A, Zagreb</t>
  </si>
  <si>
    <t>trošak deratizacije i dezinfekcije</t>
  </si>
  <si>
    <t>IN AUTOMATIKA D.O.O.</t>
  </si>
  <si>
    <t>05793648226</t>
  </si>
  <si>
    <t>Vlade Gotovca 21, Zagreb</t>
  </si>
  <si>
    <t>MAGAZIN RAČUNALNI SISTEMI D.O.O.</t>
  </si>
  <si>
    <t>MAJA POPOVIĆ SAN MEDIA</t>
  </si>
  <si>
    <t>K. Šandora Đalskog 1, Velika Gorica</t>
  </si>
  <si>
    <t>PSC FERENČAK d.o.o.</t>
  </si>
  <si>
    <t>Ulica Nikole Tesle 12, Križevci</t>
  </si>
  <si>
    <t>HELCOM TRADE D.O.O.</t>
  </si>
  <si>
    <t>Šperun transfer d.o.o</t>
  </si>
  <si>
    <t>Zupina 22, Split</t>
  </si>
  <si>
    <t>LIDL HRVATSKA d.o.o.</t>
  </si>
  <si>
    <t>Kneza Posavskog 53, Velika Gorica</t>
  </si>
  <si>
    <t>KOMET KNIN d.o.o.</t>
  </si>
  <si>
    <t>Zoranićeva 6, Knin</t>
  </si>
  <si>
    <t>Prijevoznički obrt ˇLOZANČIĆˇ</t>
  </si>
  <si>
    <t>08287359606</t>
  </si>
  <si>
    <t>Begovićeva 3, Knin</t>
  </si>
  <si>
    <t>najam automobila</t>
  </si>
  <si>
    <t>Trgovački obrt "MARIĆ COMMERCE"</t>
  </si>
  <si>
    <t>7. gardijske brigade 24, Knin</t>
  </si>
  <si>
    <t>VARKON D.O.O.</t>
  </si>
  <si>
    <t>Sarajevska cesta 25, Zagreb</t>
  </si>
  <si>
    <t>ZEL-COS D.O.O.</t>
  </si>
  <si>
    <t xml:space="preserve"> 07306591551</t>
  </si>
  <si>
    <t>DHL INTERNATIONAL D.O.O.</t>
  </si>
  <si>
    <t>Utinjska 40, Zagreb</t>
  </si>
  <si>
    <t>carinsko posredovanje</t>
  </si>
  <si>
    <t>HARD GLASS S.R.L.</t>
  </si>
  <si>
    <t>IT00891510281</t>
  </si>
  <si>
    <t>VIA OLMEO 41, Italija</t>
  </si>
  <si>
    <t>LOVATO ELECTRIC d.o.o.</t>
  </si>
  <si>
    <t>Borongajska cesta 81B/2, Zagreb</t>
  </si>
  <si>
    <t>HRVATSKI VETERINARSKI INSTITUT</t>
  </si>
  <si>
    <t>Savska cesta 143, Zagreb</t>
  </si>
  <si>
    <t>trošak analize otpadnih voda</t>
  </si>
  <si>
    <t>Petrinjska 89, Zagreb</t>
  </si>
  <si>
    <t>troškovi propagande i reklame</t>
  </si>
  <si>
    <t>MIHALJ JAVI d.o.o.</t>
  </si>
  <si>
    <t>Šeferova 2, Zagreb</t>
  </si>
  <si>
    <t>BIOINSTITUT d.o.o.</t>
  </si>
  <si>
    <t>dr.Rudolfa Dteinera, Čakovec</t>
  </si>
  <si>
    <t>KOŽUL d.o.o.</t>
  </si>
  <si>
    <t>Vinogradska cesta 2G, Slavonski Brod.</t>
  </si>
  <si>
    <t>SET d.o.o.</t>
  </si>
  <si>
    <t>Pakračka ulica 3, Bjelovar</t>
  </si>
  <si>
    <t>KRISTAL - AUTO STAKLA</t>
  </si>
  <si>
    <t>H.D.Genshera 24B, Vinkovci</t>
  </si>
  <si>
    <t>IVERO d.o.o.</t>
  </si>
  <si>
    <t>Planinska ulica 13, Sesvete</t>
  </si>
  <si>
    <t>SAFIR d.o.o.</t>
  </si>
  <si>
    <t>DE149793194</t>
  </si>
  <si>
    <t>HERZOGENBUSHER STR. 1, Njemačka</t>
  </si>
  <si>
    <t>DELECTO d.o.o.</t>
  </si>
  <si>
    <t>Vukovarska 239c, Osijek</t>
  </si>
  <si>
    <t>Johannes Hubner Fabrik elektrischer Maschinen GmbH</t>
  </si>
  <si>
    <t>DE811187959</t>
  </si>
  <si>
    <t>Siemensstrasse 7, Njemačka</t>
  </si>
  <si>
    <t>FUCHS MAZIVA d.o.o.</t>
  </si>
  <si>
    <t>Domaslovec, I Krmica 8, Samobor</t>
  </si>
  <si>
    <t>Ukupno u srpnju 2024.</t>
  </si>
  <si>
    <t>TROŠENJE SREDSTAVA U KOLOVOZU 2024.</t>
  </si>
  <si>
    <t>ZEL-COS d.o.o.</t>
  </si>
  <si>
    <t xml:space="preserve">07306591551 </t>
  </si>
  <si>
    <t>RAOS D.O.O.</t>
  </si>
  <si>
    <t>Savica I. 111, Zagreb</t>
  </si>
  <si>
    <t xml:space="preserve">GLENINVEST d.o.o. </t>
  </si>
  <si>
    <t>Mirogojska Cesta 45/b, Zagreb</t>
  </si>
  <si>
    <t>PE RI LAND d.o.o.</t>
  </si>
  <si>
    <t>Ferenci 9/D, Viškovo</t>
  </si>
  <si>
    <t>NABLA PLUS d.o.o.</t>
  </si>
  <si>
    <t>Lukoranska ulica 2, Zagreb</t>
  </si>
  <si>
    <t>SPARE PARTS INTERNATIONAL D.O.O.</t>
  </si>
  <si>
    <t>KRALJA MILUTINA 28, Beograd, Srbija</t>
  </si>
  <si>
    <t>HUBNER GmbH &amp; CO.KG</t>
  </si>
  <si>
    <t>DE815437574</t>
  </si>
  <si>
    <t>Heinrich-Hertz Strasse 2, Njemačka</t>
  </si>
  <si>
    <t>kasko štete OA</t>
  </si>
  <si>
    <t xml:space="preserve">P.&amp;A. 2020 j.d.o.o. </t>
  </si>
  <si>
    <t>Ulica Valmade 49, Pula</t>
  </si>
  <si>
    <t>LENGER d.o.o</t>
  </si>
  <si>
    <t>Krežmina 6a, Zagreb</t>
  </si>
  <si>
    <t>VEŠ-VIŠ d.o.o.</t>
  </si>
  <si>
    <t>Petra Svačića 84, Višnjevac</t>
  </si>
  <si>
    <t>GUMARA KOVAČEVIĆ D.O.O.</t>
  </si>
  <si>
    <t>09141163114</t>
  </si>
  <si>
    <t>Ulica 30. Svibnja 10,  Dugo Selo</t>
  </si>
  <si>
    <t>GROUPAMA OSIGURANJE d.d.</t>
  </si>
  <si>
    <t>Ulica grada Vukovara 284, Zagreb</t>
  </si>
  <si>
    <t>DELUNA obrt za čišćenje</t>
  </si>
  <si>
    <t>Ulica Stjepana Radića 139, Kutina</t>
  </si>
  <si>
    <t>Ustanova za medicinu rada i sporta TRKULJA</t>
  </si>
  <si>
    <t xml:space="preserve">KIARA VEŠERAJ j.d.o.o. </t>
  </si>
  <si>
    <t>Hrvatskih kraljeva 46, Vinkovci</t>
  </si>
  <si>
    <t>"METAL D.A.S." - TOKARSKI OBRT, VL. DANIJEL ŠKRAPEC</t>
  </si>
  <si>
    <t>VLADIMIRA GORTANA 15, STRMEC</t>
  </si>
  <si>
    <t xml:space="preserve">SORMIKO d.o.o. </t>
  </si>
  <si>
    <t>Dr. Franje Tuđmana 31, Novaki</t>
  </si>
  <si>
    <t>REZON d.o.o.</t>
  </si>
  <si>
    <t>I.Gundulića 7, Darda</t>
  </si>
  <si>
    <t xml:space="preserve">LIM-MONT d.o.o. </t>
  </si>
  <si>
    <t>Brigada Braće Radić 8, Vrbanovec</t>
  </si>
  <si>
    <t xml:space="preserve">TRIGLAV OSIGURANJE d.d. </t>
  </si>
  <si>
    <t>Ulica Antuna Heinza 4, Zagreb</t>
  </si>
  <si>
    <t>osiguranje od profesionalne odgovornosti</t>
  </si>
  <si>
    <t>EIT-ELEKTROINSTALACIJSKA TEHNIKA d.o.o.</t>
  </si>
  <si>
    <t>Ilica 431, Zagreb</t>
  </si>
  <si>
    <t xml:space="preserve">ZAVOD ZA UNAPREĐ. SIGURNOSTI D.D. </t>
  </si>
  <si>
    <t>Trg L.Mirskog 3/III, Osijek</t>
  </si>
  <si>
    <t xml:space="preserve">INSTALACIJE DŽAJA d.o.o. </t>
  </si>
  <si>
    <t>Vranjički put 45, Split</t>
  </si>
  <si>
    <t>VINKOPROM d.o.o.</t>
  </si>
  <si>
    <t xml:space="preserve"> 00721719381 </t>
  </si>
  <si>
    <t>Hrvatinića 108, Vinkovci</t>
  </si>
  <si>
    <t xml:space="preserve">KEMENOVIĆ d.o.o. </t>
  </si>
  <si>
    <t>F.Puškarića 104a, Zagreb</t>
  </si>
  <si>
    <t>DOGA PARTS S.L.U</t>
  </si>
  <si>
    <t>ESB58623760</t>
  </si>
  <si>
    <t>CASTELLOLI, Španjolska</t>
  </si>
  <si>
    <t>Ukupno u kolovozu 2024.</t>
  </si>
  <si>
    <t>TROŠENJE SREDSTAVA U RUJNU 2024.</t>
  </si>
  <si>
    <t>KOVINTRADE HRVATSKA d.o.o.</t>
  </si>
  <si>
    <t>Ljudevita Posavskog 29, Sesvete</t>
  </si>
  <si>
    <t>BATEL d.o.o.</t>
  </si>
  <si>
    <t>Horvaćanska cesta 31, Zagreb</t>
  </si>
  <si>
    <t>RADIO-MOTO d.o.o.</t>
  </si>
  <si>
    <t>Mrkšina ulica 42A, Zagreb</t>
  </si>
  <si>
    <t>MARICA BRAČIĆ Studio apartman Marica</t>
  </si>
  <si>
    <t>V.Čerine 2, Solin</t>
  </si>
  <si>
    <t>solidarna pomoć obitelji preminulog zaposlenika</t>
  </si>
  <si>
    <t>TINEX trgovinska družba d.o.o.</t>
  </si>
  <si>
    <t xml:space="preserve"> SI27106870</t>
  </si>
  <si>
    <t>Poslovna cona B 20, Šenčur, Slovenija</t>
  </si>
  <si>
    <t>FURNIR DRVNI CENTAR d.o.o.</t>
  </si>
  <si>
    <t>Ulica Vjekoslava Heinzela 34, Zagreb</t>
  </si>
  <si>
    <t>TOMISLAV BALAŽINEC AUTOPRIJEVOZNIK</t>
  </si>
  <si>
    <t>Ivana Gundulića 4, Varaždinske toplice</t>
  </si>
  <si>
    <t>ABATON d.o.o.</t>
  </si>
  <si>
    <t>Petrova 127, Zagreb</t>
  </si>
  <si>
    <t>AUTO-JURKOVIĆ d.o.o.</t>
  </si>
  <si>
    <t>Ulica grada Vukovara 238a, Zagreb</t>
  </si>
  <si>
    <t>SAN MERKUR D.O.O.</t>
  </si>
  <si>
    <t>PAN-PROM d.o.o.</t>
  </si>
  <si>
    <t>Petina 29A, Petina</t>
  </si>
  <si>
    <t>ŠURLAN Obrt za proizvodnju laboratorijskog stakla</t>
  </si>
  <si>
    <t>Fucane 17, Medulin</t>
  </si>
  <si>
    <t>Traktor Centar d.o.o.</t>
  </si>
  <si>
    <t>Vinkovačka cesta 108A, Osijek</t>
  </si>
  <si>
    <t>MV AUTOMATION SYSTEMS GMBH</t>
  </si>
  <si>
    <t>DE141033502</t>
  </si>
  <si>
    <t>AM GEWERBEPARK 14, Njemačka</t>
  </si>
  <si>
    <t>ELMARK GRUPA D.O.O.</t>
  </si>
  <si>
    <t>IVAN I ugostiteljstvo-turistički obrt</t>
  </si>
  <si>
    <t>Cesta domovinskog rata 20, Knin</t>
  </si>
  <si>
    <t>Kajić d.o.o.</t>
  </si>
  <si>
    <t>Praputnjak 300, Praputnjak</t>
  </si>
  <si>
    <t>BORCAD cz a.s.</t>
  </si>
  <si>
    <t>CZ17289921</t>
  </si>
  <si>
    <t>Fryčovice č.p. 789, Češka Republika</t>
  </si>
  <si>
    <t>BIRCHER REGLOMAT AG</t>
  </si>
  <si>
    <t>DE151416945</t>
  </si>
  <si>
    <t>WIESENGASSE 20, Njemačka</t>
  </si>
  <si>
    <t>ANTIPIROS d.o.o.</t>
  </si>
  <si>
    <t>Pujanke 77/A, Split</t>
  </si>
  <si>
    <t>EURO ROSA IP d.o.o.</t>
  </si>
  <si>
    <t>Froudeova ulica 3, Zagreb</t>
  </si>
  <si>
    <t>UN-TRA d.o.o.</t>
  </si>
  <si>
    <t>Savica Šanci 127, Zagreb</t>
  </si>
  <si>
    <t>MARCO S.P.A.</t>
  </si>
  <si>
    <t>IT0123941017</t>
  </si>
  <si>
    <t>VIA MAMELI 10, Italija</t>
  </si>
  <si>
    <t>SCHRACK TECHNIK d.o.o.</t>
  </si>
  <si>
    <t>SAM CRO d.o.o.</t>
  </si>
  <si>
    <t>Terezije Bernardete Banje 6, Grubišno Polje</t>
  </si>
  <si>
    <t>LABORING d.o.o.</t>
  </si>
  <si>
    <t>Virjanska ulica 22, Zagreb</t>
  </si>
  <si>
    <t>ELVOMAT D.O.O.</t>
  </si>
  <si>
    <t>Odra 117, Sisak</t>
  </si>
  <si>
    <t>EBM-PAPST INDUSTRIES Kft.</t>
  </si>
  <si>
    <t>HU12675911</t>
  </si>
  <si>
    <t>EZRED U.2, Budimpešta, Mađarska</t>
  </si>
  <si>
    <t>OBRT MALI IVICA, VL. IVICA DEVČIĆ</t>
  </si>
  <si>
    <t>ŽABORIČKA 21, Šibenik</t>
  </si>
  <si>
    <t>LAGRO D.O.O.</t>
  </si>
  <si>
    <t>Zalužje 43, Vinkovci</t>
  </si>
  <si>
    <t>POLJO-JOSO D.O.O.</t>
  </si>
  <si>
    <t>Vernička ulica 5A, Gornji Stupnik</t>
  </si>
  <si>
    <t>ATTERO TIM D.O.O.</t>
  </si>
  <si>
    <t>SORMIKO D.O.O.</t>
  </si>
  <si>
    <t>FEAL HRVATSKA D.O.O.</t>
  </si>
  <si>
    <t>Rudeška cesta 3a, Zagreb</t>
  </si>
  <si>
    <t>Ukupno u rujnu 2024.</t>
  </si>
  <si>
    <t>TROŠENJE SREDSTAVA U LISTOPADU 2024.</t>
  </si>
  <si>
    <t>MIRNI KUTIĆ d.o.o.</t>
  </si>
  <si>
    <t>Hrelićka 33, Zagreb</t>
  </si>
  <si>
    <t>Obrtniska ulica 8, Radlje ob Dravi, Slovenija</t>
  </si>
  <si>
    <t>SINDIKAT HRVATSKIH ŽELJEZNIČARA</t>
  </si>
  <si>
    <t>STROJARSKA CESTA 17, ZAGREB</t>
  </si>
  <si>
    <t>donacija</t>
  </si>
  <si>
    <t>UDRUGA BRANITELJA DOMOV.RATA HRV.ŽELJ.RIJEKA</t>
  </si>
  <si>
    <t>Trg kralja Tomislava 1, Rijeka</t>
  </si>
  <si>
    <t>FOM d.o.o.</t>
  </si>
  <si>
    <t>DOM ZDRAVLJA PRIMORSKO-GORANSKE ŽUPANIJE ISPOSTAVA RIJEKA</t>
  </si>
  <si>
    <t>Krešimirova 52a, Rijeka</t>
  </si>
  <si>
    <t>ŠELA PROIZVODNJA d.o.o.</t>
  </si>
  <si>
    <t xml:space="preserve">02222560147 </t>
  </si>
  <si>
    <t>Štefanovec 39, Zagreb</t>
  </si>
  <si>
    <t>Dräger Safety d.o.o.</t>
  </si>
  <si>
    <t>Avenija Većeslava Holjevca 40, Zagreb</t>
  </si>
  <si>
    <t>SEGE KOLTUK SISTEMLERI SAN. VE TIC.LTD</t>
  </si>
  <si>
    <t>TR7580271249</t>
  </si>
  <si>
    <t>Ulica Alaşarköy Mahallesi 511 br. 24, Bursa, Turska</t>
  </si>
  <si>
    <t>IC ELEKTRONIKA d.o.o.</t>
  </si>
  <si>
    <t>SI24073725</t>
  </si>
  <si>
    <t>VODOVODNA CESTA 100, Slovenija</t>
  </si>
  <si>
    <t>Tehno servis vl. Matej Cerić</t>
  </si>
  <si>
    <t>J.J.Strossmayera 57, Osijek</t>
  </si>
  <si>
    <t>ELGRAV LASER d.o.o.</t>
  </si>
  <si>
    <t>Varaždinska ulica 81, Popovec</t>
  </si>
  <si>
    <t>TUPLEX d.o.o.</t>
  </si>
  <si>
    <t>Vojvodići 2, Novaki</t>
  </si>
  <si>
    <t>MIKAČ obrt za usluge, vl. Radenko Simić</t>
  </si>
  <si>
    <t xml:space="preserve"> Martinkovec 124, MARTINKOVEC</t>
  </si>
  <si>
    <t>čišćenje kanalizacijskih sustava</t>
  </si>
  <si>
    <t>FOND ZA ZAŠTITU OKOLIŠA I ENERGETSKU UČINKOVITOST</t>
  </si>
  <si>
    <t>DACPOL Sp. z o.o.</t>
  </si>
  <si>
    <t>PL5210083644</t>
  </si>
  <si>
    <t>Pulawska str., 34, Poljska</t>
  </si>
  <si>
    <t>MERAZER SPOLKA AKCYJNA</t>
  </si>
  <si>
    <t>PL7770001387</t>
  </si>
  <si>
    <t>ul. Krauthofera 36, Poznan, Poljska</t>
  </si>
  <si>
    <t>Ekoing d.o.o.</t>
  </si>
  <si>
    <t>Ante Topića Mimare 40, Zagreb</t>
  </si>
  <si>
    <t>Ventilatorska 8A, Zagreb</t>
  </si>
  <si>
    <t>RI KLIMA OPATIJA d.o.o.</t>
  </si>
  <si>
    <t>Pavlovac 7A, Opatija</t>
  </si>
  <si>
    <t>LED ART d.o.o.</t>
  </si>
  <si>
    <t>Zavrtnica 7, Zagreb</t>
  </si>
  <si>
    <t>TPT EDUKACIJE, obrt za pruž. int. usl.</t>
  </si>
  <si>
    <t>Kralja Tvrtka 4, Požega</t>
  </si>
  <si>
    <t>TEAM TRADE j.d.o.o. (Restoran kod Šukija)</t>
  </si>
  <si>
    <t>Mala Polača 6, Knin</t>
  </si>
  <si>
    <t>Battioni Pagani Pompe S.p.A.</t>
  </si>
  <si>
    <t>IT02479000347</t>
  </si>
  <si>
    <t>Via Enzo Ferrari 2, Italija</t>
  </si>
  <si>
    <t>MAHLE INDUSTRIAL THERMAL SYSTEMS GmbH &amp; Co. KG</t>
  </si>
  <si>
    <t>DE147503379</t>
  </si>
  <si>
    <t>Enzstrasse 25-33, Njemačka</t>
  </si>
  <si>
    <t>FASTSPRING Inc.</t>
  </si>
  <si>
    <t>EU372017645</t>
  </si>
  <si>
    <t>801 GARDEN STREET, CA, USA</t>
  </si>
  <si>
    <t>AUTO KUĆA JERKOVIĆ D.O.O.</t>
  </si>
  <si>
    <t>lica Poduzetnička zona 12, Opuzen</t>
  </si>
  <si>
    <t>Kairos A.S. d.o.o.</t>
  </si>
  <si>
    <t>Brca 18, Rijeka</t>
  </si>
  <si>
    <t>CLOSE INVOICE FINANCE LTD (MATADOR)</t>
  </si>
  <si>
    <t>GB348993493</t>
  </si>
  <si>
    <t>UNIT 6 TOP ANGEL, BUCKINGHAM;UK</t>
  </si>
  <si>
    <t>KODEKS SISTEMSKE INTEGRACIJE d.o.o.</t>
  </si>
  <si>
    <t>UDRUGA ENERGETIČARA ZAGREB</t>
  </si>
  <si>
    <t>Ilica 34/1, Zagreb</t>
  </si>
  <si>
    <t>HUST d.o.o.</t>
  </si>
  <si>
    <t>V.NAZORA 8, Sv. Nedjelja</t>
  </si>
  <si>
    <t>Ukupno u listopadu 2024.</t>
  </si>
  <si>
    <t>METALKO d.o.o.</t>
  </si>
  <si>
    <t>Ulica Ivana Gundulića 1A, Pakrac</t>
  </si>
  <si>
    <t>ERGONOVA PILJEK d.o.o.</t>
  </si>
  <si>
    <t>Mirkovec 77A, Mirkovec</t>
  </si>
  <si>
    <t>GP-JUK D.O.O.</t>
  </si>
  <si>
    <t>Celestina Medovića 1/A, Karlovac</t>
  </si>
  <si>
    <t>Rubber Design B.V.</t>
  </si>
  <si>
    <t>NL005237130B01</t>
  </si>
  <si>
    <t>Industrieweg 21, Nizozemska</t>
  </si>
  <si>
    <t>Šeferova ulica 2, Zagreb</t>
  </si>
  <si>
    <t xml:space="preserve">RITTAL d.o.o. </t>
  </si>
  <si>
    <t>Samoborska cesta 145 b, Zagreb</t>
  </si>
  <si>
    <t xml:space="preserve">ELMAŽ d.o.o. </t>
  </si>
  <si>
    <t>Naselak 22, Zagreb</t>
  </si>
  <si>
    <t xml:space="preserve">BRČIĆ PROIZVODNJA d.o.o. </t>
  </si>
  <si>
    <t>Samoborska cesta 107A, Zagreb</t>
  </si>
  <si>
    <t>KLINOS D.O.O.</t>
  </si>
  <si>
    <t>Augusta Cesarca 2, Višnjevac</t>
  </si>
  <si>
    <t xml:space="preserve">HAPPICH GmbH </t>
  </si>
  <si>
    <t>DE258211572</t>
  </si>
  <si>
    <t>Lise-Meitner Strasse 14, Njemačka</t>
  </si>
  <si>
    <t>C.I.A.K. Auto d.o.o.</t>
  </si>
  <si>
    <t>Gornjostupnička ulica 96, Gornji Stupnik</t>
  </si>
  <si>
    <t>TROŠENJE SREDSTAVA U STUDENOM 2024.</t>
  </si>
  <si>
    <t>SAVEZ ENERGETIČARA HRVATSKE</t>
  </si>
  <si>
    <t xml:space="preserve">Ilica 34/I, 10000 </t>
  </si>
  <si>
    <t>ĐURO ĐAKOVIĆ KOMPENZATORI d.o.o.</t>
  </si>
  <si>
    <t>IMP CRPKE ZAGREB d.o.o.</t>
  </si>
  <si>
    <t>Josipa Seisela 24, Zagreb</t>
  </si>
  <si>
    <t>DRUŠVO ENERGETIČARA VARAŽDIN</t>
  </si>
  <si>
    <t>Graberje 33, Varaždin</t>
  </si>
  <si>
    <t>FERTIS D.O.O.</t>
  </si>
  <si>
    <t>Ulica Božidara Magovca 28, Zagreb</t>
  </si>
  <si>
    <t>SAFIR d.o.o</t>
  </si>
  <si>
    <t>POSLOVNO UČILIŠTE ALTIUS</t>
  </si>
  <si>
    <t>Dragutina Domjanića 25, Zagreb</t>
  </si>
  <si>
    <t>Pavleka Miškine 39, Strahoninec</t>
  </si>
  <si>
    <t>FRIGO&amp;CO D.O.O.</t>
  </si>
  <si>
    <t>Gospodarska ulica 29/A, Varaždin</t>
  </si>
  <si>
    <t>PAKPLUS d.o.o.</t>
  </si>
  <si>
    <t xml:space="preserve"> Zagrebačka 93, Čakovec</t>
  </si>
  <si>
    <t>L.A. STUDIO d.o.o.</t>
  </si>
  <si>
    <t xml:space="preserve"> Ulica Lorenza Jägera 14, Osijek</t>
  </si>
  <si>
    <t>EKO-DIM  DIMNJAČARSKO-USLUŽNI OBRT</t>
  </si>
  <si>
    <t>Lj. Gaja br. 1 c, Vinkovci</t>
  </si>
  <si>
    <t>GRAVER, grav. djelat.</t>
  </si>
  <si>
    <t>Županijska 6, Osijek</t>
  </si>
  <si>
    <t xml:space="preserve">savez energet. slavonije i baranje </t>
  </si>
  <si>
    <t>Istarska 3, Osijek</t>
  </si>
  <si>
    <t>HAMOFA BVBA</t>
  </si>
  <si>
    <t>BE0454570902</t>
  </si>
  <si>
    <t>BEDRIJFSSTRAAT 4, Belgija</t>
  </si>
  <si>
    <t>ENERGO FLUID d.o.o.</t>
  </si>
  <si>
    <t>Lazina 105, Lazina Čička</t>
  </si>
  <si>
    <t>PARTNER LOGISTICS d.o.o.</t>
  </si>
  <si>
    <t>Ulica Milana Amruša 10, Zagreb</t>
  </si>
  <si>
    <t>CV HYDRAULIK GmbH</t>
  </si>
  <si>
    <t>DE815340639</t>
  </si>
  <si>
    <t>Holderackerstr. 8, Njemačka</t>
  </si>
  <si>
    <t>PANOS ING d.o.o.</t>
  </si>
  <si>
    <t>Radnička cesta 39, Zagreb</t>
  </si>
  <si>
    <t>GROMEL  d.o.o.</t>
  </si>
  <si>
    <t>Većeslava Holjevca 20B, Jastrebarsko</t>
  </si>
  <si>
    <t>KRONOS d.o.o.</t>
  </si>
  <si>
    <t>Ulica Lorenza Jägera 14, Osijek</t>
  </si>
  <si>
    <t>Dr. ETLINGER d.o.o.</t>
  </si>
  <si>
    <t>Jakova Gotovca 10, Zagreb</t>
  </si>
  <si>
    <t xml:space="preserve">JUŽNI PROLAZ d.o.o. </t>
  </si>
  <si>
    <t>Majstorska ulica 3, Zagreb</t>
  </si>
  <si>
    <t>Pujanke 77a, Split</t>
  </si>
  <si>
    <t>ALATI MILIĆ d.o.o.</t>
  </si>
  <si>
    <t>Ulica Mirka Viriusa 2, Zagreb</t>
  </si>
  <si>
    <t>RAOS d.o.o.</t>
  </si>
  <si>
    <t>ROMTON d.o.o.</t>
  </si>
  <si>
    <t xml:space="preserve"> Prisavlje 12, Zagreb</t>
  </si>
  <si>
    <t>TRGO-AGENCIJA d.o.o.</t>
  </si>
  <si>
    <t>Donji Cubinec 69a, Cubinec</t>
  </si>
  <si>
    <t>BIOKOVO COMMERCE d.o.o.</t>
  </si>
  <si>
    <t>Karlovačka cesta 145/A, Zagreb</t>
  </si>
  <si>
    <t>PROSIGNUM d.o.o.</t>
  </si>
  <si>
    <t>08216104120</t>
  </si>
  <si>
    <t>ostale usluge</t>
  </si>
  <si>
    <t>U.O. KOD PERE</t>
  </si>
  <si>
    <t>Radučić centar 6, Radučić</t>
  </si>
  <si>
    <t>IVAGO D.O.O.</t>
  </si>
  <si>
    <t>Bulvanova 18, Zagreb</t>
  </si>
  <si>
    <t>LEO GRAD D.O.O.</t>
  </si>
  <si>
    <t>Zelinska ulica 8, Lužan</t>
  </si>
  <si>
    <t>sanacija krovišta</t>
  </si>
  <si>
    <t xml:space="preserve">PROTIS D.O.O. </t>
  </si>
  <si>
    <t>Ul. Hrv. narodnog preporoda 35, Sisak</t>
  </si>
  <si>
    <t>BENEFIT SYSTEMS D.O.O.</t>
  </si>
  <si>
    <t>Ulica Vjekoslava Heinzela 44, Zagreb</t>
  </si>
  <si>
    <t>PLETER - USLUGE D.O.O.</t>
  </si>
  <si>
    <t>Čerinina ulica 23, Zagreb</t>
  </si>
  <si>
    <t xml:space="preserve">VEK obrt za proizvodnju vl. Daniel Klasnić </t>
  </si>
  <si>
    <t>DRUŠTVO ENERGETIČARA ZADAR</t>
  </si>
  <si>
    <t>Brne Karnarutića 2, Zadar</t>
  </si>
  <si>
    <t>Ukupno u studenom 2024.</t>
  </si>
  <si>
    <t>TROŠENJE SREDSTAVA U PROSINCU 2024.</t>
  </si>
  <si>
    <t>EURO DAUS d.d.</t>
  </si>
  <si>
    <t>Put Mostina 1, Split</t>
  </si>
  <si>
    <t>naknada štete</t>
  </si>
  <si>
    <t>HOFER D.O.O. precizni alati</t>
  </si>
  <si>
    <t>Karlovačka 30, Klinča Sela</t>
  </si>
  <si>
    <t>AUTO-HRVATSKA STANICA ZA TEHNIČKI PREGLED D.O.O.</t>
  </si>
  <si>
    <t>Osječka 50, Rijeka</t>
  </si>
  <si>
    <t>TORAUTOMATIC d.o.o.</t>
  </si>
  <si>
    <t>07450660923</t>
  </si>
  <si>
    <t>Put Loparica 23, Zagreb</t>
  </si>
  <si>
    <t>SPAZ d.o.o.</t>
  </si>
  <si>
    <t>dar djeci</t>
  </si>
  <si>
    <t>AUSPUHLASTOVČIĆ d.o.o.</t>
  </si>
  <si>
    <t>Domaslovečka 45, Samobor</t>
  </si>
  <si>
    <t>MOTOMETER GmbH</t>
  </si>
  <si>
    <t>METALIA-AUTO, d.o.o.</t>
  </si>
  <si>
    <t>Mostarska 1, Split</t>
  </si>
  <si>
    <t>LIM-OS d.o.o.</t>
  </si>
  <si>
    <t>Zeleno polje 30, Osijek</t>
  </si>
  <si>
    <t>BTS COMPANY d.o.o.</t>
  </si>
  <si>
    <t>OMNIMERKUR D.O.O.</t>
  </si>
  <si>
    <t>Gornjostupnička ulica 1B, Gornji Stupnik</t>
  </si>
  <si>
    <t>RRIF PLUS d.o.o.</t>
  </si>
  <si>
    <t>Vlaška 68/I, Zagreb</t>
  </si>
  <si>
    <t>trošak stručne literature</t>
  </si>
  <si>
    <t>PASTOR SERVISI d.o.o.</t>
  </si>
  <si>
    <t>FLEXBALL ITALIANA S.R.L.</t>
  </si>
  <si>
    <t>IT00776870016</t>
  </si>
  <si>
    <t>VIA SAN LUIGI 13/A, Italija</t>
  </si>
  <si>
    <t>PRIJEVOZNIK IVAN ČELEBIJA</t>
  </si>
  <si>
    <t>Zvonimirova 14, SPLIT</t>
  </si>
  <si>
    <t>OBRT ZA PROIZVODNJU OPRUGA "SIGMA", VL. SLOBODAN TOMAŠ</t>
  </si>
  <si>
    <t>DARUVARSKA 66, Bjelovar</t>
  </si>
  <si>
    <t>KONZUM PLUS D.O.O.</t>
  </si>
  <si>
    <t>Ulica Marijana Čavića 1/a, Zagreb</t>
  </si>
  <si>
    <t>SIJ RAVNE SYSTEMS d.o.o.</t>
  </si>
  <si>
    <t>SI75949504</t>
  </si>
  <si>
    <t>Koroška cesta 14, Slovenija</t>
  </si>
  <si>
    <t>SERTO-BEL d.o.o.</t>
  </si>
  <si>
    <t>Stupničke šipkovine 20, Donji Stupnik</t>
  </si>
  <si>
    <t>VORTICA d.o.o.</t>
  </si>
  <si>
    <t>Ćikovići 27, Kastav</t>
  </si>
  <si>
    <t>KONČAR - Motori i električni sustavi d.o.o.</t>
  </si>
  <si>
    <t>Fallerovo Šetalište 22, Zagreb</t>
  </si>
  <si>
    <t xml:space="preserve">ostale usluge </t>
  </si>
  <si>
    <t>prigodna nagrada - božićnica</t>
  </si>
  <si>
    <t>ITPP ZAGREB D.O.O.</t>
  </si>
  <si>
    <t>Zubovačka ulica 7, Zagreb</t>
  </si>
  <si>
    <t>NUPER D.O.O.</t>
  </si>
  <si>
    <t>Iza Grada 4, Klis</t>
  </si>
  <si>
    <t xml:space="preserve">ERGONOVA PILJEK D.O.O. </t>
  </si>
  <si>
    <t>Mirkovec 77A, Sv. Kr. Začretje</t>
  </si>
  <si>
    <t>MARICA BRAČIĆ STUDIO apartman Marica</t>
  </si>
  <si>
    <t>Ukupno u prosincu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</si>
</sst>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101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5" fillId="0" borderId="0" xfId="1" applyFont="1" applyAlignment="1">
      <alignment horizontal="left"/>
    </xf>
    <xf numFmtId="0" fontId="5" fillId="0" borderId="0" xfId="1" applyFont="1"/>
    <xf numFmtId="4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" fontId="1" fillId="0" borderId="0" xfId="0" applyNumberFormat="1" applyFont="1"/>
    <xf numFmtId="4" fontId="3" fillId="0" borderId="1" xfId="0" applyNumberFormat="1" applyFont="1" applyBorder="1" applyAlignment="1">
      <alignment horizontal="center"/>
    </xf>
    <xf numFmtId="4" fontId="1" fillId="0" borderId="2" xfId="0" applyNumberFormat="1" applyFont="1" applyBorder="1"/>
    <xf numFmtId="4" fontId="1" fillId="0" borderId="5" xfId="0" applyNumberFormat="1" applyFont="1" applyBorder="1"/>
    <xf numFmtId="4" fontId="1" fillId="0" borderId="4" xfId="0" applyNumberFormat="1" applyFont="1" applyBorder="1"/>
    <xf numFmtId="4" fontId="1" fillId="0" borderId="6" xfId="0" applyNumberFormat="1" applyFont="1" applyBorder="1"/>
    <xf numFmtId="0" fontId="1" fillId="2" borderId="2" xfId="0" applyFont="1" applyFill="1" applyBorder="1"/>
    <xf numFmtId="4" fontId="1" fillId="0" borderId="3" xfId="0" applyNumberFormat="1" applyFont="1" applyBorder="1"/>
    <xf numFmtId="0" fontId="6" fillId="0" borderId="0" xfId="0" applyFont="1"/>
    <xf numFmtId="4" fontId="1" fillId="0" borderId="0" xfId="0" applyNumberFormat="1" applyFont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0" borderId="2" xfId="0" applyFont="1" applyBorder="1"/>
    <xf numFmtId="4" fontId="1" fillId="0" borderId="7" xfId="0" applyNumberFormat="1" applyFont="1" applyBorder="1"/>
    <xf numFmtId="0" fontId="1" fillId="2" borderId="5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2" borderId="4" xfId="0" applyFont="1" applyFill="1" applyBorder="1"/>
    <xf numFmtId="0" fontId="1" fillId="0" borderId="4" xfId="0" applyFont="1" applyBorder="1"/>
    <xf numFmtId="0" fontId="1" fillId="2" borderId="6" xfId="0" applyFont="1" applyFill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/>
    <xf numFmtId="0" fontId="1" fillId="0" borderId="3" xfId="0" applyFont="1" applyBorder="1"/>
    <xf numFmtId="0" fontId="1" fillId="0" borderId="4" xfId="0" quotePrefix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/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" fontId="3" fillId="0" borderId="0" xfId="0" applyNumberFormat="1" applyFont="1"/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0" borderId="7" xfId="0" applyFont="1" applyBorder="1"/>
    <xf numFmtId="0" fontId="1" fillId="2" borderId="4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4" fontId="2" fillId="0" borderId="0" xfId="0" applyNumberFormat="1" applyFont="1"/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quotePrefix="1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quotePrefix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7" fillId="0" borderId="0" xfId="0" applyFont="1"/>
    <xf numFmtId="0" fontId="1" fillId="2" borderId="1" xfId="0" applyFont="1" applyFill="1" applyBorder="1" applyAlignment="1">
      <alignment horizontal="center" vertical="center"/>
    </xf>
  </cellXfs>
  <cellStyles count="2">
    <cellStyle name="Normal 2 2" xfId="1" xr:uid="{22BC5AE9-5B79-4F2A-A8FB-8BF6F9D07AFB}"/>
    <cellStyle name="Normalno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B2354E6-CCED-4A3E-9EDA-2ACFEAD7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85A29E-7E0A-4F6B-BAE0-2C6DE6C82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1CF095-B9DA-436D-BC8A-E22B102F1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DAE4DF-E5D5-4083-AC17-7A8BA2150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2FC4C7-C9CB-4219-A086-FDE8C1315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B22A02-8C3C-4CED-8EBE-89D889234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9245CB-2FF8-4625-B82E-47FDB6F0D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8D7795-A2F7-4686-B1BA-D43EC4E3C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734BB5-E896-4E7D-AEC7-5DAB1F846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C37EC8-6F28-4A6D-8B89-ACB1636EB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AF28BD-1F2D-451F-A2D4-37E2A4813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838200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971C59-86B8-4534-8D7A-74ECAED28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F4FB-0261-43D0-828A-F0FFB9B4258F}">
  <sheetPr codeName="List1"/>
  <dimension ref="A5:L301"/>
  <sheetViews>
    <sheetView workbookViewId="0">
      <selection activeCell="E303" sqref="E303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74" t="s">
        <v>7</v>
      </c>
      <c r="B6" s="74"/>
    </row>
    <row r="7" spans="1:7" x14ac:dyDescent="0.2">
      <c r="A7" s="74" t="s">
        <v>8</v>
      </c>
      <c r="B7" s="74"/>
    </row>
    <row r="8" spans="1:7" x14ac:dyDescent="0.2">
      <c r="A8" s="25"/>
      <c r="B8" s="6"/>
      <c r="C8" s="75" t="s">
        <v>9</v>
      </c>
      <c r="D8" s="75"/>
      <c r="E8" s="75"/>
      <c r="F8" s="75"/>
    </row>
    <row r="10" spans="1:7" x14ac:dyDescent="0.2">
      <c r="A10" s="3" t="s">
        <v>1</v>
      </c>
      <c r="B10" s="4" t="s">
        <v>0</v>
      </c>
      <c r="C10" s="3" t="s">
        <v>42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11</v>
      </c>
      <c r="C11" s="11">
        <v>23780250353</v>
      </c>
      <c r="D11" s="5" t="s">
        <v>27</v>
      </c>
      <c r="E11" s="8">
        <v>2520.39</v>
      </c>
      <c r="F11" s="5" t="s">
        <v>10</v>
      </c>
      <c r="G11" s="2" t="s">
        <v>12</v>
      </c>
    </row>
    <row r="12" spans="1:7" x14ac:dyDescent="0.2">
      <c r="A12" s="11">
        <v>2</v>
      </c>
      <c r="B12" s="5" t="s">
        <v>13</v>
      </c>
      <c r="C12" s="11">
        <v>90275854576</v>
      </c>
      <c r="D12" s="5" t="s">
        <v>28</v>
      </c>
      <c r="E12" s="8">
        <v>330.04</v>
      </c>
      <c r="F12" s="5" t="s">
        <v>10</v>
      </c>
      <c r="G12" s="2" t="s">
        <v>12</v>
      </c>
    </row>
    <row r="13" spans="1:7" x14ac:dyDescent="0.2">
      <c r="A13" s="11">
        <v>3</v>
      </c>
      <c r="B13" s="5" t="s">
        <v>14</v>
      </c>
      <c r="C13" s="11">
        <v>87939104217</v>
      </c>
      <c r="D13" s="5" t="s">
        <v>15</v>
      </c>
      <c r="E13" s="8">
        <v>31.74</v>
      </c>
      <c r="F13" s="5" t="s">
        <v>10</v>
      </c>
      <c r="G13" s="2" t="s">
        <v>16</v>
      </c>
    </row>
    <row r="14" spans="1:7" x14ac:dyDescent="0.2">
      <c r="A14" s="11">
        <v>4</v>
      </c>
      <c r="B14" s="5" t="s">
        <v>17</v>
      </c>
      <c r="C14" s="11" t="s">
        <v>17</v>
      </c>
      <c r="D14" s="5" t="s">
        <v>17</v>
      </c>
      <c r="E14" s="8">
        <v>1680</v>
      </c>
      <c r="F14" s="5" t="s">
        <v>10</v>
      </c>
      <c r="G14" s="2" t="s">
        <v>18</v>
      </c>
    </row>
    <row r="15" spans="1:7" ht="14.25" customHeight="1" x14ac:dyDescent="0.2">
      <c r="A15" s="11">
        <v>5</v>
      </c>
      <c r="B15" s="5" t="s">
        <v>19</v>
      </c>
      <c r="C15" s="12" t="s">
        <v>30</v>
      </c>
      <c r="D15" s="9" t="s">
        <v>31</v>
      </c>
      <c r="E15" s="8">
        <v>4999.5600000000004</v>
      </c>
      <c r="F15" s="5" t="s">
        <v>10</v>
      </c>
      <c r="G15" s="2" t="s">
        <v>20</v>
      </c>
    </row>
    <row r="16" spans="1:7" x14ac:dyDescent="0.2">
      <c r="A16" s="11">
        <v>6</v>
      </c>
      <c r="B16" s="5" t="s">
        <v>22</v>
      </c>
      <c r="C16" s="11">
        <v>85167032587</v>
      </c>
      <c r="D16" s="5" t="s">
        <v>29</v>
      </c>
      <c r="E16" s="8">
        <v>527.30999999999995</v>
      </c>
      <c r="F16" s="5" t="s">
        <v>10</v>
      </c>
      <c r="G16" s="2" t="s">
        <v>21</v>
      </c>
    </row>
    <row r="17" spans="1:9" x14ac:dyDescent="0.2">
      <c r="A17" s="11">
        <v>7</v>
      </c>
      <c r="B17" s="5" t="s">
        <v>24</v>
      </c>
      <c r="C17" s="11">
        <v>55622004611</v>
      </c>
      <c r="D17" s="5" t="s">
        <v>32</v>
      </c>
      <c r="E17" s="8">
        <v>69.75</v>
      </c>
      <c r="F17" s="5" t="s">
        <v>10</v>
      </c>
      <c r="G17" s="2" t="s">
        <v>23</v>
      </c>
    </row>
    <row r="18" spans="1:9" x14ac:dyDescent="0.2">
      <c r="A18" s="11">
        <v>8</v>
      </c>
      <c r="B18" s="5" t="s">
        <v>25</v>
      </c>
      <c r="C18" s="11">
        <v>73660371074</v>
      </c>
      <c r="D18" s="5" t="s">
        <v>38</v>
      </c>
      <c r="E18" s="8">
        <f>27.63+31.88</f>
        <v>59.51</v>
      </c>
      <c r="F18" s="5" t="s">
        <v>10</v>
      </c>
      <c r="G18" s="2" t="s">
        <v>23</v>
      </c>
    </row>
    <row r="19" spans="1:9" x14ac:dyDescent="0.2">
      <c r="A19" s="11">
        <v>9</v>
      </c>
      <c r="B19" s="5" t="s">
        <v>26</v>
      </c>
      <c r="C19" s="11">
        <v>53052188418</v>
      </c>
      <c r="D19" s="5" t="s">
        <v>33</v>
      </c>
      <c r="E19" s="8">
        <v>87.5</v>
      </c>
      <c r="F19" s="5" t="s">
        <v>10</v>
      </c>
      <c r="G19" s="2" t="s">
        <v>23</v>
      </c>
    </row>
    <row r="20" spans="1:9" x14ac:dyDescent="0.2">
      <c r="A20" s="11">
        <v>10</v>
      </c>
      <c r="B20" s="5" t="s">
        <v>17</v>
      </c>
      <c r="C20" s="11" t="s">
        <v>17</v>
      </c>
      <c r="D20" s="5" t="s">
        <v>17</v>
      </c>
      <c r="E20" s="8">
        <v>1002693.42</v>
      </c>
      <c r="F20" s="5" t="s">
        <v>10</v>
      </c>
      <c r="G20" s="2" t="s">
        <v>34</v>
      </c>
    </row>
    <row r="21" spans="1:9" ht="15" customHeight="1" x14ac:dyDescent="0.2">
      <c r="A21" s="11">
        <v>11</v>
      </c>
      <c r="B21" s="5" t="s">
        <v>35</v>
      </c>
      <c r="C21" s="11" t="s">
        <v>40</v>
      </c>
      <c r="D21" s="9" t="s">
        <v>41</v>
      </c>
      <c r="E21" s="8">
        <v>11.88</v>
      </c>
      <c r="F21" s="5" t="s">
        <v>10</v>
      </c>
      <c r="G21" s="2" t="s">
        <v>16</v>
      </c>
    </row>
    <row r="22" spans="1:9" x14ac:dyDescent="0.2">
      <c r="A22" s="11">
        <v>12</v>
      </c>
      <c r="B22" s="5" t="s">
        <v>36</v>
      </c>
      <c r="C22" s="11">
        <v>100001159</v>
      </c>
      <c r="D22" s="5" t="s">
        <v>37</v>
      </c>
      <c r="E22" s="8">
        <v>14</v>
      </c>
      <c r="F22" s="5" t="s">
        <v>10</v>
      </c>
      <c r="G22" s="2" t="s">
        <v>16</v>
      </c>
    </row>
    <row r="23" spans="1:9" x14ac:dyDescent="0.2">
      <c r="A23" s="11">
        <v>13</v>
      </c>
      <c r="B23" s="5" t="s">
        <v>39</v>
      </c>
      <c r="C23" s="12" t="s">
        <v>44</v>
      </c>
      <c r="D23" s="5" t="s">
        <v>43</v>
      </c>
      <c r="E23" s="8">
        <v>1695.58</v>
      </c>
      <c r="F23" s="5" t="s">
        <v>10</v>
      </c>
      <c r="G23" s="2" t="s">
        <v>16</v>
      </c>
    </row>
    <row r="24" spans="1:9" x14ac:dyDescent="0.2">
      <c r="A24" s="11">
        <v>14</v>
      </c>
      <c r="B24" s="5" t="s">
        <v>45</v>
      </c>
      <c r="C24" s="11">
        <v>57500462912</v>
      </c>
      <c r="D24" s="5" t="s">
        <v>47</v>
      </c>
      <c r="E24" s="8">
        <v>1650</v>
      </c>
      <c r="F24" s="5" t="s">
        <v>10</v>
      </c>
      <c r="G24" s="2" t="s">
        <v>46</v>
      </c>
    </row>
    <row r="25" spans="1:9" x14ac:dyDescent="0.2">
      <c r="A25" s="11">
        <v>15</v>
      </c>
      <c r="B25" s="5" t="s">
        <v>49</v>
      </c>
      <c r="C25" s="11">
        <v>98138500552</v>
      </c>
      <c r="D25" s="5" t="s">
        <v>50</v>
      </c>
      <c r="E25" s="8">
        <v>5312.5</v>
      </c>
      <c r="F25" s="5" t="s">
        <v>10</v>
      </c>
      <c r="G25" s="2" t="s">
        <v>48</v>
      </c>
    </row>
    <row r="26" spans="1:9" x14ac:dyDescent="0.2">
      <c r="A26" s="11">
        <v>16</v>
      </c>
      <c r="B26" s="5" t="s">
        <v>51</v>
      </c>
      <c r="C26" s="11">
        <v>74216428096</v>
      </c>
      <c r="D26" s="5" t="s">
        <v>53</v>
      </c>
      <c r="E26" s="8">
        <v>663.61</v>
      </c>
      <c r="F26" s="5" t="s">
        <v>10</v>
      </c>
      <c r="G26" s="2" t="s">
        <v>52</v>
      </c>
    </row>
    <row r="27" spans="1:9" x14ac:dyDescent="0.2">
      <c r="A27" s="11">
        <v>17</v>
      </c>
      <c r="B27" s="5" t="s">
        <v>54</v>
      </c>
      <c r="C27" s="12" t="s">
        <v>69</v>
      </c>
      <c r="D27" s="5" t="s">
        <v>68</v>
      </c>
      <c r="E27" s="8">
        <v>17260</v>
      </c>
      <c r="F27" s="5" t="s">
        <v>10</v>
      </c>
      <c r="G27" s="2" t="s">
        <v>55</v>
      </c>
    </row>
    <row r="28" spans="1:9" ht="12.75" thickBot="1" x14ac:dyDescent="0.25">
      <c r="A28" s="11">
        <v>18</v>
      </c>
      <c r="B28" s="5" t="s">
        <v>56</v>
      </c>
      <c r="C28" s="11">
        <v>23308926345</v>
      </c>
      <c r="D28" s="5" t="s">
        <v>74</v>
      </c>
      <c r="E28" s="15">
        <v>207.31</v>
      </c>
      <c r="F28" s="5" t="s">
        <v>10</v>
      </c>
      <c r="G28" s="2" t="s">
        <v>55</v>
      </c>
      <c r="H28" s="13"/>
    </row>
    <row r="29" spans="1:9" x14ac:dyDescent="0.2">
      <c r="A29" s="76">
        <v>19</v>
      </c>
      <c r="B29" s="65" t="s">
        <v>613</v>
      </c>
      <c r="C29" s="67">
        <v>66253945791</v>
      </c>
      <c r="D29" s="65" t="s">
        <v>67</v>
      </c>
      <c r="E29" s="16">
        <v>7057.5</v>
      </c>
      <c r="F29" s="65" t="s">
        <v>10</v>
      </c>
      <c r="G29" s="2" t="s">
        <v>55</v>
      </c>
    </row>
    <row r="30" spans="1:9" x14ac:dyDescent="0.2">
      <c r="A30" s="77"/>
      <c r="B30" s="69"/>
      <c r="C30" s="70"/>
      <c r="D30" s="69"/>
      <c r="E30" s="8">
        <v>123369.08</v>
      </c>
      <c r="F30" s="69"/>
      <c r="G30" s="2" t="s">
        <v>58</v>
      </c>
      <c r="I30" s="13"/>
    </row>
    <row r="31" spans="1:9" ht="12.75" thickBot="1" x14ac:dyDescent="0.25">
      <c r="A31" s="78"/>
      <c r="B31" s="66"/>
      <c r="C31" s="68"/>
      <c r="D31" s="66"/>
      <c r="E31" s="18">
        <v>29917.360000000001</v>
      </c>
      <c r="F31" s="66"/>
      <c r="G31" s="2" t="s">
        <v>23</v>
      </c>
      <c r="I31" s="13"/>
    </row>
    <row r="32" spans="1:9" x14ac:dyDescent="0.2">
      <c r="A32" s="11">
        <v>20</v>
      </c>
      <c r="B32" s="5" t="s">
        <v>57</v>
      </c>
      <c r="C32" s="12" t="s">
        <v>70</v>
      </c>
      <c r="D32" s="5" t="s">
        <v>71</v>
      </c>
      <c r="E32" s="17">
        <v>10000</v>
      </c>
      <c r="F32" s="5" t="s">
        <v>10</v>
      </c>
      <c r="G32" s="2" t="s">
        <v>55</v>
      </c>
    </row>
    <row r="33" spans="1:9" ht="12.75" thickBot="1" x14ac:dyDescent="0.25">
      <c r="A33" s="11">
        <v>21</v>
      </c>
      <c r="B33" s="5" t="s">
        <v>59</v>
      </c>
      <c r="C33" s="11">
        <v>63073332379</v>
      </c>
      <c r="D33" s="5" t="s">
        <v>73</v>
      </c>
      <c r="E33" s="15">
        <v>5889.7</v>
      </c>
      <c r="F33" s="5" t="s">
        <v>10</v>
      </c>
      <c r="G33" s="2" t="s">
        <v>61</v>
      </c>
    </row>
    <row r="34" spans="1:9" x14ac:dyDescent="0.2">
      <c r="A34" s="67">
        <v>22</v>
      </c>
      <c r="B34" s="65" t="s">
        <v>60</v>
      </c>
      <c r="C34" s="67">
        <v>39901919995</v>
      </c>
      <c r="D34" s="65" t="s">
        <v>72</v>
      </c>
      <c r="E34" s="16">
        <v>3466.03</v>
      </c>
      <c r="F34" s="65" t="s">
        <v>10</v>
      </c>
      <c r="G34" s="2" t="s">
        <v>61</v>
      </c>
    </row>
    <row r="35" spans="1:9" x14ac:dyDescent="0.2">
      <c r="A35" s="70"/>
      <c r="B35" s="69"/>
      <c r="C35" s="70"/>
      <c r="D35" s="69"/>
      <c r="E35" s="8">
        <v>2107.59</v>
      </c>
      <c r="F35" s="69"/>
      <c r="G35" s="2" t="s">
        <v>62</v>
      </c>
      <c r="I35" s="13"/>
    </row>
    <row r="36" spans="1:9" x14ac:dyDescent="0.2">
      <c r="A36" s="70"/>
      <c r="B36" s="69"/>
      <c r="C36" s="70"/>
      <c r="D36" s="69"/>
      <c r="E36" s="8">
        <v>13035.67</v>
      </c>
      <c r="F36" s="69"/>
      <c r="G36" s="2" t="s">
        <v>63</v>
      </c>
    </row>
    <row r="37" spans="1:9" ht="12.75" thickBot="1" x14ac:dyDescent="0.25">
      <c r="A37" s="68"/>
      <c r="B37" s="66"/>
      <c r="C37" s="68"/>
      <c r="D37" s="66"/>
      <c r="E37" s="18">
        <v>4606.03</v>
      </c>
      <c r="F37" s="66"/>
      <c r="G37" s="2" t="s">
        <v>64</v>
      </c>
      <c r="I37" s="13"/>
    </row>
    <row r="38" spans="1:9" ht="12.75" thickBot="1" x14ac:dyDescent="0.25">
      <c r="A38" s="11">
        <f>A34+1</f>
        <v>23</v>
      </c>
      <c r="B38" s="5" t="s">
        <v>65</v>
      </c>
      <c r="C38" s="11">
        <v>93039509752</v>
      </c>
      <c r="D38" s="5" t="s">
        <v>75</v>
      </c>
      <c r="E38" s="20">
        <v>1493.14</v>
      </c>
      <c r="F38" s="19" t="s">
        <v>10</v>
      </c>
      <c r="G38" s="2" t="s">
        <v>66</v>
      </c>
    </row>
    <row r="39" spans="1:9" ht="15" customHeight="1" x14ac:dyDescent="0.2">
      <c r="A39" s="67">
        <v>24</v>
      </c>
      <c r="B39" s="65" t="s">
        <v>76</v>
      </c>
      <c r="C39" s="67">
        <v>11471889269</v>
      </c>
      <c r="D39" s="65" t="s">
        <v>77</v>
      </c>
      <c r="E39" s="16">
        <v>4395</v>
      </c>
      <c r="F39" s="65" t="s">
        <v>10</v>
      </c>
      <c r="G39" s="2" t="s">
        <v>58</v>
      </c>
    </row>
    <row r="40" spans="1:9" ht="12.75" thickBot="1" x14ac:dyDescent="0.25">
      <c r="A40" s="68"/>
      <c r="B40" s="66"/>
      <c r="C40" s="68"/>
      <c r="D40" s="66"/>
      <c r="E40" s="18">
        <v>677.9</v>
      </c>
      <c r="F40" s="69"/>
      <c r="G40" s="2" t="s">
        <v>23</v>
      </c>
    </row>
    <row r="41" spans="1:9" x14ac:dyDescent="0.2">
      <c r="A41" s="67">
        <v>25</v>
      </c>
      <c r="B41" s="65" t="s">
        <v>78</v>
      </c>
      <c r="C41" s="67">
        <v>27759560625</v>
      </c>
      <c r="D41" s="71" t="s">
        <v>80</v>
      </c>
      <c r="E41" s="17">
        <v>6944.01</v>
      </c>
      <c r="F41" s="65" t="s">
        <v>10</v>
      </c>
      <c r="G41" s="2" t="s">
        <v>79</v>
      </c>
    </row>
    <row r="42" spans="1:9" x14ac:dyDescent="0.2">
      <c r="A42" s="70"/>
      <c r="B42" s="69"/>
      <c r="C42" s="70"/>
      <c r="D42" s="72"/>
      <c r="E42" s="8">
        <v>1027.43</v>
      </c>
      <c r="F42" s="69"/>
      <c r="G42" s="2" t="s">
        <v>23</v>
      </c>
    </row>
    <row r="43" spans="1:9" ht="12.75" thickBot="1" x14ac:dyDescent="0.25">
      <c r="A43" s="68"/>
      <c r="B43" s="66"/>
      <c r="C43" s="68"/>
      <c r="D43" s="73"/>
      <c r="E43" s="15">
        <v>106304.74</v>
      </c>
      <c r="F43" s="66"/>
      <c r="G43" s="2" t="s">
        <v>81</v>
      </c>
    </row>
    <row r="44" spans="1:9" x14ac:dyDescent="0.2">
      <c r="A44" s="11">
        <v>26</v>
      </c>
      <c r="B44" s="5" t="s">
        <v>83</v>
      </c>
      <c r="C44" s="11">
        <v>68419124305</v>
      </c>
      <c r="D44" s="5" t="s">
        <v>84</v>
      </c>
      <c r="E44" s="16">
        <v>84.96</v>
      </c>
      <c r="F44" s="5" t="s">
        <v>10</v>
      </c>
      <c r="G44" s="2" t="s">
        <v>82</v>
      </c>
    </row>
    <row r="45" spans="1:9" x14ac:dyDescent="0.2">
      <c r="A45" s="11">
        <v>27</v>
      </c>
      <c r="B45" s="5" t="s">
        <v>85</v>
      </c>
      <c r="C45" s="11">
        <v>52909770220</v>
      </c>
      <c r="D45" s="5" t="s">
        <v>89</v>
      </c>
      <c r="E45" s="8">
        <v>5013.75</v>
      </c>
      <c r="F45" s="5" t="s">
        <v>10</v>
      </c>
      <c r="G45" s="2" t="s">
        <v>86</v>
      </c>
    </row>
    <row r="46" spans="1:9" x14ac:dyDescent="0.2">
      <c r="A46" s="11">
        <v>28</v>
      </c>
      <c r="B46" s="5" t="s">
        <v>88</v>
      </c>
      <c r="C46" s="11">
        <v>42889250808</v>
      </c>
      <c r="D46" s="5" t="s">
        <v>90</v>
      </c>
      <c r="E46" s="8">
        <v>79.150000000000006</v>
      </c>
      <c r="F46" s="5" t="s">
        <v>10</v>
      </c>
      <c r="G46" s="2" t="s">
        <v>86</v>
      </c>
    </row>
    <row r="47" spans="1:9" x14ac:dyDescent="0.2">
      <c r="A47" s="11">
        <v>29</v>
      </c>
      <c r="B47" s="5" t="s">
        <v>87</v>
      </c>
      <c r="C47" s="12" t="s">
        <v>92</v>
      </c>
      <c r="D47" s="5" t="s">
        <v>91</v>
      </c>
      <c r="E47" s="8">
        <v>647.08000000000004</v>
      </c>
      <c r="F47" s="5" t="s">
        <v>10</v>
      </c>
      <c r="G47" s="2" t="s">
        <v>86</v>
      </c>
    </row>
    <row r="48" spans="1:9" x14ac:dyDescent="0.2">
      <c r="A48" s="11">
        <v>30</v>
      </c>
      <c r="B48" s="5" t="s">
        <v>93</v>
      </c>
      <c r="C48" s="11">
        <v>72702911449</v>
      </c>
      <c r="D48" s="5" t="s">
        <v>95</v>
      </c>
      <c r="E48" s="8">
        <v>877.5</v>
      </c>
      <c r="F48" s="5" t="s">
        <v>10</v>
      </c>
      <c r="G48" s="2" t="s">
        <v>94</v>
      </c>
    </row>
    <row r="49" spans="1:7" x14ac:dyDescent="0.2">
      <c r="A49" s="11">
        <v>31</v>
      </c>
      <c r="B49" s="5" t="s">
        <v>96</v>
      </c>
      <c r="C49" s="11">
        <v>78997473821</v>
      </c>
      <c r="D49" s="5" t="s">
        <v>98</v>
      </c>
      <c r="E49" s="8">
        <v>179.58</v>
      </c>
      <c r="F49" s="5" t="s">
        <v>10</v>
      </c>
      <c r="G49" s="2" t="s">
        <v>97</v>
      </c>
    </row>
    <row r="50" spans="1:7" x14ac:dyDescent="0.2">
      <c r="A50" s="11">
        <v>32</v>
      </c>
      <c r="B50" s="5" t="s">
        <v>100</v>
      </c>
      <c r="C50" s="11" t="s">
        <v>17</v>
      </c>
      <c r="D50" s="5" t="s">
        <v>17</v>
      </c>
      <c r="E50" s="8">
        <v>218.88</v>
      </c>
      <c r="F50" s="5" t="s">
        <v>10</v>
      </c>
      <c r="G50" s="2" t="s">
        <v>99</v>
      </c>
    </row>
    <row r="51" spans="1:7" x14ac:dyDescent="0.2">
      <c r="A51" s="11">
        <v>33</v>
      </c>
      <c r="B51" s="5" t="s">
        <v>17</v>
      </c>
      <c r="C51" s="11" t="s">
        <v>17</v>
      </c>
      <c r="D51" s="5" t="s">
        <v>17</v>
      </c>
      <c r="E51" s="8">
        <v>2632</v>
      </c>
      <c r="F51" s="5" t="s">
        <v>10</v>
      </c>
      <c r="G51" s="2" t="s">
        <v>101</v>
      </c>
    </row>
    <row r="52" spans="1:7" x14ac:dyDescent="0.2">
      <c r="A52" s="11">
        <v>34</v>
      </c>
      <c r="B52" s="5" t="s">
        <v>102</v>
      </c>
      <c r="C52" s="11">
        <v>981494061</v>
      </c>
      <c r="D52" s="5" t="s">
        <v>103</v>
      </c>
      <c r="E52" s="8">
        <v>1672.68</v>
      </c>
      <c r="F52" s="5" t="s">
        <v>10</v>
      </c>
      <c r="G52" s="2" t="s">
        <v>62</v>
      </c>
    </row>
    <row r="53" spans="1:7" x14ac:dyDescent="0.2">
      <c r="A53" s="11">
        <v>35</v>
      </c>
      <c r="B53" s="5" t="s">
        <v>105</v>
      </c>
      <c r="C53" s="11">
        <v>80109305109</v>
      </c>
      <c r="D53" s="5" t="s">
        <v>106</v>
      </c>
      <c r="E53" s="8">
        <v>3187.5</v>
      </c>
      <c r="F53" s="5" t="s">
        <v>10</v>
      </c>
      <c r="G53" s="2" t="s">
        <v>104</v>
      </c>
    </row>
    <row r="54" spans="1:7" x14ac:dyDescent="0.2">
      <c r="A54" s="11">
        <v>36</v>
      </c>
      <c r="B54" s="5" t="s">
        <v>17</v>
      </c>
      <c r="C54" s="11" t="s">
        <v>17</v>
      </c>
      <c r="D54" s="5" t="s">
        <v>17</v>
      </c>
      <c r="E54" s="8">
        <v>15542.55</v>
      </c>
      <c r="F54" s="5" t="s">
        <v>10</v>
      </c>
      <c r="G54" s="2" t="s">
        <v>107</v>
      </c>
    </row>
    <row r="55" spans="1:7" x14ac:dyDescent="0.2">
      <c r="A55" s="11">
        <v>37</v>
      </c>
      <c r="B55" s="5" t="s">
        <v>109</v>
      </c>
      <c r="C55" s="11">
        <v>32179081874</v>
      </c>
      <c r="D55" s="5" t="s">
        <v>110</v>
      </c>
      <c r="E55" s="8">
        <v>1580.71</v>
      </c>
      <c r="F55" s="5" t="s">
        <v>10</v>
      </c>
      <c r="G55" s="2" t="s">
        <v>108</v>
      </c>
    </row>
    <row r="56" spans="1:7" x14ac:dyDescent="0.2">
      <c r="A56" s="67">
        <v>38</v>
      </c>
      <c r="B56" s="65" t="s">
        <v>113</v>
      </c>
      <c r="C56" s="67">
        <v>76173743169</v>
      </c>
      <c r="D56" s="65" t="s">
        <v>111</v>
      </c>
      <c r="E56" s="8">
        <v>33.18</v>
      </c>
      <c r="F56" s="65" t="s">
        <v>10</v>
      </c>
      <c r="G56" s="2" t="s">
        <v>108</v>
      </c>
    </row>
    <row r="57" spans="1:7" x14ac:dyDescent="0.2">
      <c r="A57" s="68"/>
      <c r="B57" s="66"/>
      <c r="C57" s="68"/>
      <c r="D57" s="66"/>
      <c r="E57" s="8">
        <v>517.16</v>
      </c>
      <c r="F57" s="66"/>
      <c r="G57" s="2" t="s">
        <v>112</v>
      </c>
    </row>
    <row r="58" spans="1:7" x14ac:dyDescent="0.2">
      <c r="A58" s="11">
        <v>39</v>
      </c>
      <c r="B58" s="5" t="s">
        <v>114</v>
      </c>
      <c r="C58" s="12" t="s">
        <v>116</v>
      </c>
      <c r="D58" s="5" t="s">
        <v>117</v>
      </c>
      <c r="E58" s="8">
        <v>957.01</v>
      </c>
      <c r="F58" s="5" t="s">
        <v>10</v>
      </c>
      <c r="G58" s="2" t="s">
        <v>115</v>
      </c>
    </row>
    <row r="59" spans="1:7" x14ac:dyDescent="0.2">
      <c r="A59" s="67">
        <v>40</v>
      </c>
      <c r="B59" s="65" t="s">
        <v>119</v>
      </c>
      <c r="C59" s="67">
        <v>34976993601</v>
      </c>
      <c r="D59" s="65" t="s">
        <v>120</v>
      </c>
      <c r="E59" s="8">
        <v>966.3</v>
      </c>
      <c r="F59" s="65" t="s">
        <v>10</v>
      </c>
      <c r="G59" s="2" t="s">
        <v>118</v>
      </c>
    </row>
    <row r="60" spans="1:7" x14ac:dyDescent="0.2">
      <c r="A60" s="68"/>
      <c r="B60" s="66"/>
      <c r="C60" s="68"/>
      <c r="D60" s="66"/>
      <c r="E60" s="8">
        <v>112.29</v>
      </c>
      <c r="F60" s="66"/>
      <c r="G60" s="2" t="s">
        <v>287</v>
      </c>
    </row>
    <row r="61" spans="1:7" x14ac:dyDescent="0.2">
      <c r="A61" s="11">
        <v>41</v>
      </c>
      <c r="B61" s="5" t="s">
        <v>17</v>
      </c>
      <c r="C61" s="11" t="s">
        <v>17</v>
      </c>
      <c r="D61" s="5" t="s">
        <v>17</v>
      </c>
      <c r="E61" s="8">
        <v>1753.11</v>
      </c>
      <c r="F61" s="5" t="s">
        <v>10</v>
      </c>
      <c r="G61" s="2" t="s">
        <v>121</v>
      </c>
    </row>
    <row r="62" spans="1:7" x14ac:dyDescent="0.2">
      <c r="A62" s="11">
        <v>42</v>
      </c>
      <c r="B62" s="5" t="s">
        <v>17</v>
      </c>
      <c r="C62" s="11" t="s">
        <v>17</v>
      </c>
      <c r="D62" s="5" t="s">
        <v>17</v>
      </c>
      <c r="E62" s="8">
        <v>21604.31</v>
      </c>
      <c r="F62" s="5" t="s">
        <v>10</v>
      </c>
      <c r="G62" s="2" t="s">
        <v>122</v>
      </c>
    </row>
    <row r="63" spans="1:7" x14ac:dyDescent="0.2">
      <c r="A63" s="11">
        <v>43</v>
      </c>
      <c r="B63" s="5" t="s">
        <v>17</v>
      </c>
      <c r="C63" s="11" t="s">
        <v>17</v>
      </c>
      <c r="D63" s="5" t="s">
        <v>17</v>
      </c>
      <c r="E63" s="8">
        <v>398.17</v>
      </c>
      <c r="F63" s="5" t="s">
        <v>10</v>
      </c>
      <c r="G63" s="2" t="s">
        <v>123</v>
      </c>
    </row>
    <row r="64" spans="1:7" x14ac:dyDescent="0.2">
      <c r="A64" s="11">
        <v>44</v>
      </c>
      <c r="B64" s="5" t="s">
        <v>125</v>
      </c>
      <c r="C64" s="11">
        <v>15429488788</v>
      </c>
      <c r="D64" s="5" t="s">
        <v>126</v>
      </c>
      <c r="E64" s="8">
        <v>148.11000000000001</v>
      </c>
      <c r="F64" s="5" t="s">
        <v>10</v>
      </c>
      <c r="G64" s="2" t="s">
        <v>124</v>
      </c>
    </row>
    <row r="65" spans="1:9" x14ac:dyDescent="0.2">
      <c r="A65" s="11">
        <v>45</v>
      </c>
      <c r="B65" s="5" t="s">
        <v>127</v>
      </c>
      <c r="C65" s="11">
        <v>28921383001</v>
      </c>
      <c r="D65" s="5" t="s">
        <v>129</v>
      </c>
      <c r="E65" s="8">
        <v>257.97000000000003</v>
      </c>
      <c r="F65" s="5" t="s">
        <v>10</v>
      </c>
      <c r="G65" s="2" t="s">
        <v>128</v>
      </c>
    </row>
    <row r="66" spans="1:9" x14ac:dyDescent="0.2">
      <c r="A66" s="67">
        <v>46</v>
      </c>
      <c r="B66" s="65" t="s">
        <v>131</v>
      </c>
      <c r="C66" s="67">
        <v>70133616033</v>
      </c>
      <c r="D66" s="65" t="s">
        <v>134</v>
      </c>
      <c r="E66" s="8">
        <v>4943.12</v>
      </c>
      <c r="F66" s="65" t="s">
        <v>10</v>
      </c>
      <c r="G66" s="2" t="s">
        <v>130</v>
      </c>
    </row>
    <row r="67" spans="1:9" x14ac:dyDescent="0.2">
      <c r="A67" s="68"/>
      <c r="B67" s="66"/>
      <c r="C67" s="68"/>
      <c r="D67" s="66"/>
      <c r="E67" s="8">
        <f>1955.12+1761.75</f>
        <v>3716.87</v>
      </c>
      <c r="F67" s="66"/>
      <c r="G67" s="2" t="s">
        <v>292</v>
      </c>
    </row>
    <row r="68" spans="1:9" x14ac:dyDescent="0.2">
      <c r="A68" s="67">
        <v>47</v>
      </c>
      <c r="B68" s="65" t="s">
        <v>132</v>
      </c>
      <c r="C68" s="67">
        <v>81793146560</v>
      </c>
      <c r="D68" s="65" t="s">
        <v>133</v>
      </c>
      <c r="E68" s="8">
        <v>2600</v>
      </c>
      <c r="F68" s="5" t="s">
        <v>10</v>
      </c>
      <c r="G68" s="2" t="s">
        <v>130</v>
      </c>
    </row>
    <row r="69" spans="1:9" x14ac:dyDescent="0.2">
      <c r="A69" s="68"/>
      <c r="B69" s="66"/>
      <c r="C69" s="68"/>
      <c r="D69" s="66"/>
      <c r="E69" s="8">
        <v>15.33</v>
      </c>
      <c r="F69" s="5"/>
      <c r="G69" s="2" t="s">
        <v>292</v>
      </c>
    </row>
    <row r="70" spans="1:9" x14ac:dyDescent="0.2">
      <c r="A70" s="11">
        <v>48</v>
      </c>
      <c r="B70" s="5" t="s">
        <v>135</v>
      </c>
      <c r="C70" s="11">
        <v>38812451417</v>
      </c>
      <c r="D70" s="5" t="s">
        <v>198</v>
      </c>
      <c r="E70" s="8">
        <v>179.01</v>
      </c>
      <c r="F70" s="5" t="s">
        <v>10</v>
      </c>
      <c r="G70" s="2" t="s">
        <v>112</v>
      </c>
      <c r="I70" s="13"/>
    </row>
    <row r="71" spans="1:9" x14ac:dyDescent="0.2">
      <c r="A71" s="11">
        <v>49</v>
      </c>
      <c r="B71" s="5" t="s">
        <v>136</v>
      </c>
      <c r="C71" s="11">
        <v>70467048139</v>
      </c>
      <c r="D71" s="5" t="s">
        <v>199</v>
      </c>
      <c r="E71" s="8">
        <v>62.26</v>
      </c>
      <c r="F71" s="5" t="s">
        <v>10</v>
      </c>
      <c r="G71" s="2" t="s">
        <v>112</v>
      </c>
    </row>
    <row r="72" spans="1:9" x14ac:dyDescent="0.2">
      <c r="A72" s="11">
        <v>50</v>
      </c>
      <c r="B72" s="5" t="s">
        <v>137</v>
      </c>
      <c r="C72" s="12" t="s">
        <v>200</v>
      </c>
      <c r="D72" s="5" t="s">
        <v>201</v>
      </c>
      <c r="E72" s="8">
        <v>429.99</v>
      </c>
      <c r="F72" s="5" t="s">
        <v>10</v>
      </c>
      <c r="G72" s="2" t="s">
        <v>112</v>
      </c>
    </row>
    <row r="73" spans="1:9" x14ac:dyDescent="0.2">
      <c r="A73" s="11">
        <v>51</v>
      </c>
      <c r="B73" s="5" t="s">
        <v>138</v>
      </c>
      <c r="C73" s="11">
        <v>46163832762</v>
      </c>
      <c r="D73" s="5" t="s">
        <v>202</v>
      </c>
      <c r="E73" s="8">
        <v>179.01</v>
      </c>
      <c r="F73" s="5" t="s">
        <v>10</v>
      </c>
      <c r="G73" s="2" t="s">
        <v>112</v>
      </c>
    </row>
    <row r="74" spans="1:9" x14ac:dyDescent="0.2">
      <c r="A74" s="11">
        <v>52</v>
      </c>
      <c r="B74" s="5" t="s">
        <v>140</v>
      </c>
      <c r="C74" s="11">
        <v>41412434130</v>
      </c>
      <c r="D74" s="5" t="s">
        <v>197</v>
      </c>
      <c r="E74" s="8">
        <v>67.28</v>
      </c>
      <c r="F74" s="5" t="s">
        <v>10</v>
      </c>
      <c r="G74" s="2" t="s">
        <v>112</v>
      </c>
    </row>
    <row r="75" spans="1:9" x14ac:dyDescent="0.2">
      <c r="A75" s="11">
        <v>53</v>
      </c>
      <c r="B75" s="5" t="s">
        <v>139</v>
      </c>
      <c r="C75" s="11">
        <v>26211106548</v>
      </c>
      <c r="D75" s="5" t="s">
        <v>141</v>
      </c>
      <c r="E75" s="8">
        <v>387.06</v>
      </c>
      <c r="F75" s="5" t="s">
        <v>10</v>
      </c>
      <c r="G75" s="2" t="s">
        <v>112</v>
      </c>
      <c r="I75" s="13"/>
    </row>
    <row r="76" spans="1:9" x14ac:dyDescent="0.2">
      <c r="A76" s="11">
        <v>54</v>
      </c>
      <c r="B76" s="5" t="s">
        <v>142</v>
      </c>
      <c r="C76" s="12" t="s">
        <v>203</v>
      </c>
      <c r="D76" s="5" t="s">
        <v>204</v>
      </c>
      <c r="E76" s="8">
        <v>190.2</v>
      </c>
      <c r="F76" s="5" t="s">
        <v>10</v>
      </c>
      <c r="G76" s="2" t="s">
        <v>112</v>
      </c>
    </row>
    <row r="77" spans="1:9" x14ac:dyDescent="0.2">
      <c r="A77" s="11">
        <v>55</v>
      </c>
      <c r="B77" s="5" t="s">
        <v>143</v>
      </c>
      <c r="C77" s="11">
        <v>85584865987</v>
      </c>
      <c r="D77" s="5" t="s">
        <v>205</v>
      </c>
      <c r="E77" s="8">
        <v>1502.06</v>
      </c>
      <c r="F77" s="5" t="s">
        <v>10</v>
      </c>
      <c r="G77" s="2" t="s">
        <v>112</v>
      </c>
    </row>
    <row r="78" spans="1:9" x14ac:dyDescent="0.2">
      <c r="A78" s="11">
        <v>56</v>
      </c>
      <c r="B78" s="5" t="s">
        <v>144</v>
      </c>
      <c r="C78" s="11"/>
      <c r="D78" s="5"/>
      <c r="E78" s="8">
        <v>700</v>
      </c>
      <c r="F78" s="5" t="s">
        <v>10</v>
      </c>
      <c r="G78" s="2" t="s">
        <v>145</v>
      </c>
    </row>
    <row r="79" spans="1:9" x14ac:dyDescent="0.2">
      <c r="A79" s="11">
        <v>57</v>
      </c>
      <c r="B79" s="5" t="s">
        <v>146</v>
      </c>
      <c r="C79" s="11">
        <v>58680938419</v>
      </c>
      <c r="D79" s="5" t="s">
        <v>206</v>
      </c>
      <c r="E79" s="8">
        <v>284.99</v>
      </c>
      <c r="F79" s="5" t="s">
        <v>10</v>
      </c>
      <c r="G79" s="2" t="s">
        <v>147</v>
      </c>
    </row>
    <row r="80" spans="1:9" x14ac:dyDescent="0.2">
      <c r="A80" s="11">
        <v>58</v>
      </c>
      <c r="B80" s="5" t="s">
        <v>148</v>
      </c>
      <c r="C80" s="11" t="s">
        <v>207</v>
      </c>
      <c r="D80" s="5" t="s">
        <v>208</v>
      </c>
      <c r="E80" s="8">
        <v>2104.9</v>
      </c>
      <c r="F80" s="5" t="s">
        <v>10</v>
      </c>
      <c r="G80" s="2" t="s">
        <v>147</v>
      </c>
    </row>
    <row r="81" spans="1:7" x14ac:dyDescent="0.2">
      <c r="A81" s="11">
        <v>59</v>
      </c>
      <c r="B81" s="5" t="s">
        <v>149</v>
      </c>
      <c r="C81" s="11">
        <v>40199026282</v>
      </c>
      <c r="D81" s="5" t="s">
        <v>209</v>
      </c>
      <c r="E81" s="8">
        <v>34608.050000000003</v>
      </c>
      <c r="F81" s="5" t="s">
        <v>10</v>
      </c>
      <c r="G81" s="2" t="s">
        <v>147</v>
      </c>
    </row>
    <row r="82" spans="1:7" x14ac:dyDescent="0.2">
      <c r="A82" s="11">
        <v>60</v>
      </c>
      <c r="B82" s="5" t="s">
        <v>150</v>
      </c>
      <c r="C82" s="11">
        <v>19422090987</v>
      </c>
      <c r="D82" s="5" t="s">
        <v>210</v>
      </c>
      <c r="E82" s="8">
        <v>1359</v>
      </c>
      <c r="F82" s="5" t="s">
        <v>10</v>
      </c>
      <c r="G82" s="2" t="s">
        <v>147</v>
      </c>
    </row>
    <row r="83" spans="1:7" x14ac:dyDescent="0.2">
      <c r="A83" s="11">
        <v>61</v>
      </c>
      <c r="B83" s="5" t="s">
        <v>151</v>
      </c>
      <c r="C83" s="11">
        <v>59964152545</v>
      </c>
      <c r="D83" s="5" t="s">
        <v>211</v>
      </c>
      <c r="E83" s="8">
        <v>3690.64</v>
      </c>
      <c r="F83" s="5" t="s">
        <v>10</v>
      </c>
      <c r="G83" s="2" t="s">
        <v>147</v>
      </c>
    </row>
    <row r="84" spans="1:7" x14ac:dyDescent="0.2">
      <c r="A84" s="11">
        <v>62</v>
      </c>
      <c r="B84" s="5" t="s">
        <v>152</v>
      </c>
      <c r="C84" s="11">
        <v>54948902275</v>
      </c>
      <c r="D84" s="5" t="s">
        <v>212</v>
      </c>
      <c r="E84" s="8">
        <v>419.9</v>
      </c>
      <c r="F84" s="5" t="s">
        <v>10</v>
      </c>
      <c r="G84" s="2" t="s">
        <v>153</v>
      </c>
    </row>
    <row r="85" spans="1:7" x14ac:dyDescent="0.2">
      <c r="A85" s="11">
        <v>63</v>
      </c>
      <c r="B85" s="5" t="s">
        <v>154</v>
      </c>
      <c r="C85" s="11">
        <v>33001753417</v>
      </c>
      <c r="D85" s="5" t="s">
        <v>213</v>
      </c>
      <c r="E85" s="8">
        <v>6147.5</v>
      </c>
      <c r="F85" s="5" t="s">
        <v>10</v>
      </c>
      <c r="G85" s="2" t="s">
        <v>23</v>
      </c>
    </row>
    <row r="86" spans="1:7" x14ac:dyDescent="0.2">
      <c r="A86" s="11">
        <v>64</v>
      </c>
      <c r="B86" s="5" t="s">
        <v>155</v>
      </c>
      <c r="C86" s="11">
        <v>55326209639</v>
      </c>
      <c r="D86" s="5" t="s">
        <v>214</v>
      </c>
      <c r="E86" s="8">
        <v>247.5</v>
      </c>
      <c r="F86" s="5" t="s">
        <v>10</v>
      </c>
      <c r="G86" s="2" t="s">
        <v>23</v>
      </c>
    </row>
    <row r="87" spans="1:7" x14ac:dyDescent="0.2">
      <c r="A87" s="11">
        <v>65</v>
      </c>
      <c r="B87" s="5" t="s">
        <v>156</v>
      </c>
      <c r="C87" s="11">
        <v>51645411160</v>
      </c>
      <c r="D87" s="5" t="s">
        <v>215</v>
      </c>
      <c r="E87" s="8">
        <v>45.63</v>
      </c>
      <c r="F87" s="5" t="s">
        <v>10</v>
      </c>
      <c r="G87" s="2" t="s">
        <v>23</v>
      </c>
    </row>
    <row r="88" spans="1:7" x14ac:dyDescent="0.2">
      <c r="A88" s="11">
        <v>66</v>
      </c>
      <c r="B88" s="5" t="s">
        <v>157</v>
      </c>
      <c r="C88" s="11" t="s">
        <v>216</v>
      </c>
      <c r="D88" s="5" t="s">
        <v>158</v>
      </c>
      <c r="E88" s="8">
        <v>7158</v>
      </c>
      <c r="F88" s="5" t="s">
        <v>10</v>
      </c>
      <c r="G88" s="2" t="s">
        <v>23</v>
      </c>
    </row>
    <row r="89" spans="1:7" x14ac:dyDescent="0.2">
      <c r="A89" s="11">
        <v>67</v>
      </c>
      <c r="B89" s="5" t="s">
        <v>159</v>
      </c>
      <c r="C89" s="11">
        <v>64862538713</v>
      </c>
      <c r="D89" s="5" t="s">
        <v>217</v>
      </c>
      <c r="E89" s="8">
        <v>1866.43</v>
      </c>
      <c r="F89" s="5" t="s">
        <v>10</v>
      </c>
      <c r="G89" s="2" t="s">
        <v>23</v>
      </c>
    </row>
    <row r="90" spans="1:7" x14ac:dyDescent="0.2">
      <c r="A90" s="11">
        <v>68</v>
      </c>
      <c r="B90" s="5" t="s">
        <v>160</v>
      </c>
      <c r="C90" s="11" t="s">
        <v>218</v>
      </c>
      <c r="D90" s="5" t="s">
        <v>161</v>
      </c>
      <c r="E90" s="8">
        <v>9600</v>
      </c>
      <c r="F90" s="5" t="s">
        <v>10</v>
      </c>
      <c r="G90" s="2" t="s">
        <v>23</v>
      </c>
    </row>
    <row r="91" spans="1:7" x14ac:dyDescent="0.2">
      <c r="A91" s="11">
        <v>69</v>
      </c>
      <c r="B91" s="5" t="s">
        <v>162</v>
      </c>
      <c r="C91" s="11">
        <v>58353015102</v>
      </c>
      <c r="D91" s="5" t="s">
        <v>219</v>
      </c>
      <c r="E91" s="8">
        <v>76.31</v>
      </c>
      <c r="F91" s="5" t="s">
        <v>10</v>
      </c>
      <c r="G91" s="2" t="s">
        <v>23</v>
      </c>
    </row>
    <row r="92" spans="1:7" x14ac:dyDescent="0.2">
      <c r="A92" s="11">
        <v>70</v>
      </c>
      <c r="B92" s="5" t="s">
        <v>163</v>
      </c>
      <c r="C92" s="11">
        <v>40382428949</v>
      </c>
      <c r="D92" s="5" t="s">
        <v>220</v>
      </c>
      <c r="E92" s="8">
        <v>105.44</v>
      </c>
      <c r="F92" s="5" t="s">
        <v>10</v>
      </c>
      <c r="G92" s="2" t="s">
        <v>23</v>
      </c>
    </row>
    <row r="93" spans="1:7" x14ac:dyDescent="0.2">
      <c r="A93" s="11">
        <v>71</v>
      </c>
      <c r="B93" s="5" t="s">
        <v>164</v>
      </c>
      <c r="C93" s="11">
        <v>26941634270</v>
      </c>
      <c r="D93" s="5" t="s">
        <v>221</v>
      </c>
      <c r="E93" s="8">
        <v>3188.88</v>
      </c>
      <c r="F93" s="5" t="s">
        <v>10</v>
      </c>
      <c r="G93" s="2" t="s">
        <v>23</v>
      </c>
    </row>
    <row r="94" spans="1:7" x14ac:dyDescent="0.2">
      <c r="A94" s="11">
        <v>72</v>
      </c>
      <c r="B94" s="5" t="s">
        <v>165</v>
      </c>
      <c r="C94" s="11">
        <v>62534176727</v>
      </c>
      <c r="D94" s="5" t="s">
        <v>222</v>
      </c>
      <c r="E94" s="8">
        <v>11697.59</v>
      </c>
      <c r="F94" s="5" t="s">
        <v>10</v>
      </c>
      <c r="G94" s="2" t="s">
        <v>23</v>
      </c>
    </row>
    <row r="95" spans="1:7" x14ac:dyDescent="0.2">
      <c r="A95" s="11">
        <v>73</v>
      </c>
      <c r="B95" s="5" t="s">
        <v>166</v>
      </c>
      <c r="C95" s="11">
        <v>70922745348</v>
      </c>
      <c r="D95" s="5" t="s">
        <v>167</v>
      </c>
      <c r="E95" s="8">
        <v>1137.5</v>
      </c>
      <c r="F95" s="5" t="s">
        <v>10</v>
      </c>
      <c r="G95" s="2" t="s">
        <v>23</v>
      </c>
    </row>
    <row r="96" spans="1:7" x14ac:dyDescent="0.2">
      <c r="A96" s="11">
        <v>74</v>
      </c>
      <c r="B96" s="5" t="s">
        <v>168</v>
      </c>
      <c r="C96" s="11">
        <v>87682591133</v>
      </c>
      <c r="D96" s="5" t="s">
        <v>223</v>
      </c>
      <c r="E96" s="8">
        <v>3811.51</v>
      </c>
      <c r="F96" s="5" t="s">
        <v>10</v>
      </c>
      <c r="G96" s="2" t="s">
        <v>23</v>
      </c>
    </row>
    <row r="97" spans="1:7" x14ac:dyDescent="0.2">
      <c r="A97" s="11">
        <v>75</v>
      </c>
      <c r="B97" s="5" t="s">
        <v>169</v>
      </c>
      <c r="C97" s="11">
        <v>19849957757</v>
      </c>
      <c r="D97" s="5" t="s">
        <v>225</v>
      </c>
      <c r="E97" s="8">
        <v>12597.38</v>
      </c>
      <c r="F97" s="5" t="s">
        <v>10</v>
      </c>
      <c r="G97" s="2" t="s">
        <v>23</v>
      </c>
    </row>
    <row r="98" spans="1:7" x14ac:dyDescent="0.2">
      <c r="A98" s="11">
        <v>76</v>
      </c>
      <c r="B98" s="5" t="s">
        <v>170</v>
      </c>
      <c r="C98" s="11">
        <v>52233171260</v>
      </c>
      <c r="D98" s="5" t="s">
        <v>224</v>
      </c>
      <c r="E98" s="8">
        <v>8453.41</v>
      </c>
      <c r="F98" s="5" t="s">
        <v>10</v>
      </c>
      <c r="G98" s="2" t="s">
        <v>23</v>
      </c>
    </row>
    <row r="99" spans="1:7" x14ac:dyDescent="0.2">
      <c r="A99" s="67">
        <v>77</v>
      </c>
      <c r="B99" s="65" t="s">
        <v>172</v>
      </c>
      <c r="C99" s="67">
        <v>80572192786</v>
      </c>
      <c r="D99" s="65" t="s">
        <v>226</v>
      </c>
      <c r="E99" s="8">
        <v>1937.5</v>
      </c>
      <c r="F99" s="65" t="s">
        <v>10</v>
      </c>
      <c r="G99" s="2" t="s">
        <v>171</v>
      </c>
    </row>
    <row r="100" spans="1:7" x14ac:dyDescent="0.2">
      <c r="A100" s="68"/>
      <c r="B100" s="66"/>
      <c r="C100" s="68"/>
      <c r="D100" s="66"/>
      <c r="E100" s="8">
        <v>747.95</v>
      </c>
      <c r="F100" s="66"/>
      <c r="G100" s="2" t="s">
        <v>173</v>
      </c>
    </row>
    <row r="101" spans="1:7" x14ac:dyDescent="0.2">
      <c r="A101" s="11">
        <v>78</v>
      </c>
      <c r="B101" s="5" t="s">
        <v>174</v>
      </c>
      <c r="C101" s="11">
        <v>79517545745</v>
      </c>
      <c r="D101" s="5" t="s">
        <v>227</v>
      </c>
      <c r="E101" s="8">
        <v>85.62</v>
      </c>
      <c r="F101" s="5" t="s">
        <v>10</v>
      </c>
      <c r="G101" s="2" t="s">
        <v>176</v>
      </c>
    </row>
    <row r="102" spans="1:7" x14ac:dyDescent="0.2">
      <c r="A102" s="11">
        <v>79</v>
      </c>
      <c r="B102" s="5" t="s">
        <v>175</v>
      </c>
      <c r="C102" s="11">
        <v>14273924910</v>
      </c>
      <c r="D102" s="5" t="s">
        <v>228</v>
      </c>
      <c r="E102" s="8">
        <v>1421.25</v>
      </c>
      <c r="F102" s="5" t="s">
        <v>10</v>
      </c>
      <c r="G102" s="2" t="s">
        <v>176</v>
      </c>
    </row>
    <row r="103" spans="1:7" x14ac:dyDescent="0.2">
      <c r="A103" s="11">
        <v>80</v>
      </c>
      <c r="B103" s="5" t="s">
        <v>17</v>
      </c>
      <c r="C103" s="11" t="s">
        <v>17</v>
      </c>
      <c r="D103" s="5" t="s">
        <v>17</v>
      </c>
      <c r="E103" s="8">
        <v>4200</v>
      </c>
      <c r="F103" s="5" t="s">
        <v>10</v>
      </c>
      <c r="G103" s="2" t="s">
        <v>177</v>
      </c>
    </row>
    <row r="104" spans="1:7" x14ac:dyDescent="0.2">
      <c r="A104" s="11">
        <v>81</v>
      </c>
      <c r="B104" s="5" t="s">
        <v>17</v>
      </c>
      <c r="C104" s="11" t="s">
        <v>17</v>
      </c>
      <c r="D104" s="5" t="s">
        <v>17</v>
      </c>
      <c r="E104" s="8">
        <v>4090.2</v>
      </c>
      <c r="F104" s="5" t="s">
        <v>10</v>
      </c>
      <c r="G104" s="2" t="s">
        <v>178</v>
      </c>
    </row>
    <row r="105" spans="1:7" x14ac:dyDescent="0.2">
      <c r="A105" s="11">
        <v>82</v>
      </c>
      <c r="B105" s="5" t="s">
        <v>180</v>
      </c>
      <c r="C105" s="11">
        <v>87311810356</v>
      </c>
      <c r="D105" s="5" t="s">
        <v>229</v>
      </c>
      <c r="E105" s="8">
        <v>526.54999999999995</v>
      </c>
      <c r="F105" s="5" t="s">
        <v>10</v>
      </c>
      <c r="G105" s="2" t="s">
        <v>179</v>
      </c>
    </row>
    <row r="106" spans="1:7" x14ac:dyDescent="0.2">
      <c r="A106" s="11">
        <v>83</v>
      </c>
      <c r="B106" s="5" t="s">
        <v>230</v>
      </c>
      <c r="C106" s="11">
        <v>62969535840</v>
      </c>
      <c r="D106" s="5" t="s">
        <v>231</v>
      </c>
      <c r="E106" s="8">
        <v>834.44</v>
      </c>
      <c r="F106" s="5" t="s">
        <v>10</v>
      </c>
      <c r="G106" s="2" t="s">
        <v>23</v>
      </c>
    </row>
    <row r="107" spans="1:7" x14ac:dyDescent="0.2">
      <c r="A107" s="11">
        <v>84</v>
      </c>
      <c r="B107" s="5" t="s">
        <v>181</v>
      </c>
      <c r="C107" s="11">
        <v>71642207963</v>
      </c>
      <c r="D107" s="5" t="s">
        <v>232</v>
      </c>
      <c r="E107" s="8">
        <f>2093.84+8.46+15.9</f>
        <v>2118.2000000000003</v>
      </c>
      <c r="F107" s="5" t="s">
        <v>10</v>
      </c>
      <c r="G107" s="2" t="s">
        <v>23</v>
      </c>
    </row>
    <row r="108" spans="1:7" x14ac:dyDescent="0.2">
      <c r="A108" s="11">
        <v>85</v>
      </c>
      <c r="B108" s="5" t="s">
        <v>182</v>
      </c>
      <c r="C108" s="12" t="s">
        <v>234</v>
      </c>
      <c r="D108" s="5" t="s">
        <v>233</v>
      </c>
      <c r="E108" s="8">
        <v>470.39</v>
      </c>
      <c r="F108" s="5" t="s">
        <v>10</v>
      </c>
      <c r="G108" s="2" t="s">
        <v>23</v>
      </c>
    </row>
    <row r="109" spans="1:7" x14ac:dyDescent="0.2">
      <c r="A109" s="11">
        <v>86</v>
      </c>
      <c r="B109" s="5" t="s">
        <v>183</v>
      </c>
      <c r="C109" s="11">
        <v>95449332614</v>
      </c>
      <c r="D109" s="5" t="s">
        <v>235</v>
      </c>
      <c r="E109" s="8">
        <v>15</v>
      </c>
      <c r="F109" s="5" t="s">
        <v>10</v>
      </c>
      <c r="G109" s="2" t="s">
        <v>23</v>
      </c>
    </row>
    <row r="110" spans="1:7" x14ac:dyDescent="0.2">
      <c r="A110" s="11">
        <v>87</v>
      </c>
      <c r="B110" s="5" t="s">
        <v>184</v>
      </c>
      <c r="C110" s="11">
        <v>80051835685</v>
      </c>
      <c r="D110" s="5" t="s">
        <v>236</v>
      </c>
      <c r="E110" s="8">
        <v>6272.24</v>
      </c>
      <c r="F110" s="5" t="s">
        <v>10</v>
      </c>
      <c r="G110" s="2" t="s">
        <v>23</v>
      </c>
    </row>
    <row r="111" spans="1:7" x14ac:dyDescent="0.2">
      <c r="A111" s="11">
        <v>88</v>
      </c>
      <c r="B111" s="5" t="s">
        <v>185</v>
      </c>
      <c r="C111" s="11">
        <v>52848403362</v>
      </c>
      <c r="D111" s="5" t="s">
        <v>237</v>
      </c>
      <c r="E111" s="8">
        <v>1899</v>
      </c>
      <c r="F111" s="5" t="s">
        <v>10</v>
      </c>
      <c r="G111" s="2" t="s">
        <v>186</v>
      </c>
    </row>
    <row r="112" spans="1:7" x14ac:dyDescent="0.2">
      <c r="A112" s="11">
        <v>89</v>
      </c>
      <c r="B112" s="5" t="s">
        <v>187</v>
      </c>
      <c r="C112" s="11">
        <v>22694857747</v>
      </c>
      <c r="D112" s="5" t="s">
        <v>239</v>
      </c>
      <c r="E112" s="8">
        <v>3087.36</v>
      </c>
      <c r="F112" s="5" t="s">
        <v>10</v>
      </c>
      <c r="G112" s="2" t="s">
        <v>188</v>
      </c>
    </row>
    <row r="113" spans="1:9" x14ac:dyDescent="0.2">
      <c r="A113" s="11">
        <v>90</v>
      </c>
      <c r="B113" s="5" t="s">
        <v>189</v>
      </c>
      <c r="C113" s="11">
        <v>79014493590</v>
      </c>
      <c r="D113" s="5" t="s">
        <v>238</v>
      </c>
      <c r="E113" s="8">
        <v>3510.75</v>
      </c>
      <c r="F113" s="5" t="s">
        <v>10</v>
      </c>
      <c r="G113" s="2" t="s">
        <v>190</v>
      </c>
    </row>
    <row r="114" spans="1:9" x14ac:dyDescent="0.2">
      <c r="A114" s="67">
        <v>91</v>
      </c>
      <c r="B114" s="65" t="s">
        <v>191</v>
      </c>
      <c r="C114" s="67">
        <v>34421776805</v>
      </c>
      <c r="D114" s="65" t="s">
        <v>240</v>
      </c>
      <c r="E114" s="8">
        <v>1067.5</v>
      </c>
      <c r="F114" s="65" t="s">
        <v>10</v>
      </c>
      <c r="G114" s="2" t="s">
        <v>192</v>
      </c>
    </row>
    <row r="115" spans="1:9" x14ac:dyDescent="0.2">
      <c r="A115" s="68"/>
      <c r="B115" s="66"/>
      <c r="C115" s="68"/>
      <c r="D115" s="66"/>
      <c r="E115" s="8">
        <v>410.96</v>
      </c>
      <c r="F115" s="66"/>
      <c r="G115" s="2" t="s">
        <v>23</v>
      </c>
    </row>
    <row r="116" spans="1:9" x14ac:dyDescent="0.2">
      <c r="A116" s="11">
        <v>92</v>
      </c>
      <c r="B116" s="5" t="s">
        <v>17</v>
      </c>
      <c r="C116" s="11" t="s">
        <v>17</v>
      </c>
      <c r="D116" s="5" t="s">
        <v>17</v>
      </c>
      <c r="E116" s="8">
        <v>2040.57</v>
      </c>
      <c r="F116" s="5" t="s">
        <v>10</v>
      </c>
      <c r="G116" s="2" t="s">
        <v>193</v>
      </c>
    </row>
    <row r="117" spans="1:9" x14ac:dyDescent="0.2">
      <c r="A117" s="11">
        <v>93</v>
      </c>
      <c r="B117" s="5" t="s">
        <v>17</v>
      </c>
      <c r="C117" s="11" t="s">
        <v>17</v>
      </c>
      <c r="D117" s="5" t="s">
        <v>17</v>
      </c>
      <c r="E117" s="8">
        <v>413.44</v>
      </c>
      <c r="F117" s="5" t="s">
        <v>10</v>
      </c>
      <c r="G117" s="2" t="s">
        <v>194</v>
      </c>
    </row>
    <row r="118" spans="1:9" x14ac:dyDescent="0.2">
      <c r="A118" s="11">
        <v>94</v>
      </c>
      <c r="B118" s="5" t="s">
        <v>195</v>
      </c>
      <c r="C118" s="11">
        <v>85621555748</v>
      </c>
      <c r="D118" s="5" t="s">
        <v>241</v>
      </c>
      <c r="E118" s="8">
        <v>282</v>
      </c>
      <c r="F118" s="5" t="s">
        <v>10</v>
      </c>
      <c r="G118" s="2" t="s">
        <v>173</v>
      </c>
    </row>
    <row r="119" spans="1:9" x14ac:dyDescent="0.2">
      <c r="A119" s="11">
        <v>95</v>
      </c>
      <c r="B119" s="5" t="s">
        <v>17</v>
      </c>
      <c r="C119" s="11" t="s">
        <v>17</v>
      </c>
      <c r="D119" s="5" t="s">
        <v>17</v>
      </c>
      <c r="E119" s="8">
        <v>4603.63</v>
      </c>
      <c r="F119" s="5" t="s">
        <v>10</v>
      </c>
      <c r="G119" s="2" t="s">
        <v>196</v>
      </c>
    </row>
    <row r="120" spans="1:9" x14ac:dyDescent="0.2">
      <c r="A120" s="11">
        <v>96</v>
      </c>
      <c r="B120" s="5" t="s">
        <v>242</v>
      </c>
      <c r="C120" s="11">
        <v>49800593791</v>
      </c>
      <c r="D120" s="5" t="s">
        <v>244</v>
      </c>
      <c r="E120" s="8">
        <f>913.52+2042.61</f>
        <v>2956.13</v>
      </c>
      <c r="F120" s="5" t="s">
        <v>10</v>
      </c>
      <c r="G120" s="2" t="s">
        <v>243</v>
      </c>
    </row>
    <row r="121" spans="1:9" x14ac:dyDescent="0.2">
      <c r="A121" s="11">
        <v>97</v>
      </c>
      <c r="B121" s="5" t="s">
        <v>245</v>
      </c>
      <c r="C121" s="11">
        <v>48491501393</v>
      </c>
      <c r="D121" s="5" t="s">
        <v>246</v>
      </c>
      <c r="E121" s="8">
        <v>19494.88</v>
      </c>
      <c r="F121" s="5" t="s">
        <v>10</v>
      </c>
      <c r="G121" s="2" t="s">
        <v>23</v>
      </c>
      <c r="H121" s="13"/>
    </row>
    <row r="122" spans="1:9" x14ac:dyDescent="0.2">
      <c r="A122" s="67">
        <v>98</v>
      </c>
      <c r="B122" s="65" t="s">
        <v>248</v>
      </c>
      <c r="C122" s="67">
        <v>47428597158</v>
      </c>
      <c r="D122" s="65" t="s">
        <v>250</v>
      </c>
      <c r="E122" s="8">
        <v>1516.58</v>
      </c>
      <c r="F122" s="65" t="s">
        <v>10</v>
      </c>
      <c r="G122" s="2" t="s">
        <v>23</v>
      </c>
      <c r="I122" s="13"/>
    </row>
    <row r="123" spans="1:9" x14ac:dyDescent="0.2">
      <c r="A123" s="68"/>
      <c r="B123" s="66"/>
      <c r="C123" s="68"/>
      <c r="D123" s="66"/>
      <c r="E123" s="8">
        <f>326.03+455</f>
        <v>781.03</v>
      </c>
      <c r="F123" s="66"/>
      <c r="G123" s="2" t="s">
        <v>247</v>
      </c>
    </row>
    <row r="124" spans="1:9" x14ac:dyDescent="0.2">
      <c r="A124" s="11">
        <v>99</v>
      </c>
      <c r="B124" s="5" t="s">
        <v>249</v>
      </c>
      <c r="C124" s="11">
        <v>26004523816</v>
      </c>
      <c r="D124" s="5" t="s">
        <v>251</v>
      </c>
      <c r="E124" s="8">
        <v>101.76</v>
      </c>
      <c r="F124" s="5" t="s">
        <v>10</v>
      </c>
      <c r="G124" s="2" t="s">
        <v>23</v>
      </c>
    </row>
    <row r="125" spans="1:9" x14ac:dyDescent="0.2">
      <c r="A125" s="11">
        <v>100</v>
      </c>
      <c r="B125" s="5" t="s">
        <v>252</v>
      </c>
      <c r="C125" s="12" t="s">
        <v>254</v>
      </c>
      <c r="D125" s="5" t="s">
        <v>253</v>
      </c>
      <c r="E125" s="8">
        <v>289.16000000000003</v>
      </c>
      <c r="F125" s="5" t="s">
        <v>10</v>
      </c>
      <c r="G125" s="2" t="s">
        <v>112</v>
      </c>
    </row>
    <row r="126" spans="1:9" x14ac:dyDescent="0.2">
      <c r="A126" s="11">
        <v>101</v>
      </c>
      <c r="B126" s="5" t="s">
        <v>255</v>
      </c>
      <c r="C126" s="11">
        <v>62964458165</v>
      </c>
      <c r="D126" s="5" t="s">
        <v>256</v>
      </c>
      <c r="E126" s="8">
        <v>3027.58</v>
      </c>
      <c r="F126" s="5" t="s">
        <v>10</v>
      </c>
      <c r="G126" s="2" t="s">
        <v>23</v>
      </c>
    </row>
    <row r="127" spans="1:9" x14ac:dyDescent="0.2">
      <c r="A127" s="11">
        <v>102</v>
      </c>
      <c r="B127" s="5" t="s">
        <v>257</v>
      </c>
      <c r="C127" s="11">
        <v>25392808959</v>
      </c>
      <c r="D127" s="5" t="s">
        <v>258</v>
      </c>
      <c r="E127" s="8">
        <v>37378.71</v>
      </c>
      <c r="F127" s="5" t="s">
        <v>10</v>
      </c>
      <c r="G127" s="2" t="s">
        <v>23</v>
      </c>
      <c r="I127" s="13"/>
    </row>
    <row r="128" spans="1:9" x14ac:dyDescent="0.2">
      <c r="A128" s="11">
        <v>103</v>
      </c>
      <c r="B128" s="5" t="s">
        <v>633</v>
      </c>
      <c r="C128" s="11">
        <v>21266239879</v>
      </c>
      <c r="D128" s="5" t="s">
        <v>632</v>
      </c>
      <c r="E128" s="8">
        <f>69.01-8.46-26.55</f>
        <v>34</v>
      </c>
      <c r="F128" s="5" t="s">
        <v>10</v>
      </c>
      <c r="G128" s="2" t="s">
        <v>23</v>
      </c>
    </row>
    <row r="129" spans="1:8" x14ac:dyDescent="0.2">
      <c r="A129" s="11">
        <v>104</v>
      </c>
      <c r="B129" s="5" t="s">
        <v>621</v>
      </c>
      <c r="C129" s="11">
        <v>41511343191</v>
      </c>
      <c r="D129" s="5" t="s">
        <v>622</v>
      </c>
      <c r="E129" s="8">
        <v>26.55</v>
      </c>
      <c r="F129" s="5" t="s">
        <v>10</v>
      </c>
      <c r="G129" s="2" t="s">
        <v>23</v>
      </c>
    </row>
    <row r="130" spans="1:8" x14ac:dyDescent="0.2">
      <c r="A130" s="11">
        <v>105</v>
      </c>
      <c r="B130" s="5" t="s">
        <v>616</v>
      </c>
      <c r="C130" s="12" t="s">
        <v>617</v>
      </c>
      <c r="D130" s="5" t="s">
        <v>618</v>
      </c>
      <c r="E130" s="8">
        <f>26.52+16</f>
        <v>42.519999999999996</v>
      </c>
      <c r="F130" s="5" t="s">
        <v>10</v>
      </c>
      <c r="G130" s="2" t="s">
        <v>23</v>
      </c>
    </row>
    <row r="131" spans="1:8" x14ac:dyDescent="0.2">
      <c r="A131" s="11">
        <v>106</v>
      </c>
      <c r="B131" s="5" t="s">
        <v>619</v>
      </c>
      <c r="C131" s="11">
        <v>64720212310</v>
      </c>
      <c r="D131" s="5" t="s">
        <v>620</v>
      </c>
      <c r="E131" s="8">
        <v>5.07</v>
      </c>
      <c r="F131" s="5" t="s">
        <v>10</v>
      </c>
      <c r="G131" s="2" t="s">
        <v>23</v>
      </c>
    </row>
    <row r="132" spans="1:8" x14ac:dyDescent="0.2">
      <c r="A132" s="11">
        <v>107</v>
      </c>
      <c r="B132" s="5" t="s">
        <v>259</v>
      </c>
      <c r="C132" s="11">
        <v>46289034988</v>
      </c>
      <c r="D132" s="5" t="s">
        <v>261</v>
      </c>
      <c r="E132" s="8">
        <v>710.13</v>
      </c>
      <c r="F132" s="5" t="s">
        <v>10</v>
      </c>
      <c r="G132" s="2" t="s">
        <v>260</v>
      </c>
      <c r="H132" s="13"/>
    </row>
    <row r="133" spans="1:8" x14ac:dyDescent="0.2">
      <c r="A133" s="11">
        <v>108</v>
      </c>
      <c r="B133" s="5" t="s">
        <v>262</v>
      </c>
      <c r="C133" s="11">
        <v>41317489366</v>
      </c>
      <c r="D133" s="5" t="s">
        <v>264</v>
      </c>
      <c r="E133" s="8">
        <v>5145.59</v>
      </c>
      <c r="F133" s="5" t="s">
        <v>10</v>
      </c>
      <c r="G133" s="2" t="s">
        <v>263</v>
      </c>
    </row>
    <row r="134" spans="1:8" x14ac:dyDescent="0.2">
      <c r="A134" s="11">
        <v>109</v>
      </c>
      <c r="B134" s="5" t="s">
        <v>265</v>
      </c>
      <c r="C134" s="11">
        <v>63988426425</v>
      </c>
      <c r="D134" s="5" t="s">
        <v>266</v>
      </c>
      <c r="E134" s="8">
        <f>30520.46+62565.45</f>
        <v>93085.91</v>
      </c>
      <c r="F134" s="5" t="s">
        <v>10</v>
      </c>
      <c r="G134" s="2" t="s">
        <v>23</v>
      </c>
    </row>
    <row r="135" spans="1:8" x14ac:dyDescent="0.2">
      <c r="A135" s="11">
        <v>110</v>
      </c>
      <c r="B135" s="5" t="s">
        <v>267</v>
      </c>
      <c r="C135" s="12" t="s">
        <v>269</v>
      </c>
      <c r="D135" s="5" t="s">
        <v>268</v>
      </c>
      <c r="E135" s="8">
        <f>5000+23711.55</f>
        <v>28711.55</v>
      </c>
      <c r="F135" s="5" t="s">
        <v>10</v>
      </c>
      <c r="G135" s="2" t="s">
        <v>23</v>
      </c>
    </row>
    <row r="136" spans="1:8" x14ac:dyDescent="0.2">
      <c r="A136" s="11">
        <v>111</v>
      </c>
      <c r="B136" s="5" t="s">
        <v>270</v>
      </c>
      <c r="C136" s="11">
        <v>31174430130</v>
      </c>
      <c r="D136" s="5" t="s">
        <v>271</v>
      </c>
      <c r="E136" s="8">
        <v>209.49</v>
      </c>
      <c r="F136" s="5" t="s">
        <v>10</v>
      </c>
      <c r="G136" s="2" t="s">
        <v>112</v>
      </c>
    </row>
    <row r="137" spans="1:8" x14ac:dyDescent="0.2">
      <c r="A137" s="11">
        <v>112</v>
      </c>
      <c r="B137" s="5" t="s">
        <v>272</v>
      </c>
      <c r="C137" s="11">
        <v>96514832734</v>
      </c>
      <c r="D137" s="5" t="s">
        <v>273</v>
      </c>
      <c r="E137" s="8">
        <f>5156.25+40000</f>
        <v>45156.25</v>
      </c>
      <c r="F137" s="5" t="s">
        <v>10</v>
      </c>
      <c r="G137" s="2" t="s">
        <v>23</v>
      </c>
    </row>
    <row r="138" spans="1:8" x14ac:dyDescent="0.2">
      <c r="A138" s="11">
        <v>113</v>
      </c>
      <c r="B138" s="5" t="s">
        <v>274</v>
      </c>
      <c r="C138" s="11">
        <v>18991729117</v>
      </c>
      <c r="D138" s="5" t="s">
        <v>275</v>
      </c>
      <c r="E138" s="8">
        <v>2717</v>
      </c>
      <c r="F138" s="5" t="s">
        <v>10</v>
      </c>
      <c r="G138" s="2" t="s">
        <v>147</v>
      </c>
    </row>
    <row r="139" spans="1:8" x14ac:dyDescent="0.2">
      <c r="A139" s="11">
        <v>114</v>
      </c>
      <c r="B139" s="5" t="s">
        <v>276</v>
      </c>
      <c r="C139" s="11">
        <v>64546066176</v>
      </c>
      <c r="D139" s="5" t="s">
        <v>277</v>
      </c>
      <c r="E139" s="8">
        <f>58.01+694.44</f>
        <v>752.45</v>
      </c>
      <c r="F139" s="5" t="s">
        <v>10</v>
      </c>
      <c r="G139" s="2" t="s">
        <v>23</v>
      </c>
    </row>
    <row r="140" spans="1:8" x14ac:dyDescent="0.2">
      <c r="A140" s="11">
        <v>115</v>
      </c>
      <c r="B140" s="5" t="s">
        <v>278</v>
      </c>
      <c r="C140" s="11">
        <v>51846314410</v>
      </c>
      <c r="D140" s="5" t="s">
        <v>279</v>
      </c>
      <c r="E140" s="8">
        <v>1944.23</v>
      </c>
      <c r="F140" s="5" t="s">
        <v>10</v>
      </c>
      <c r="G140" s="2" t="s">
        <v>23</v>
      </c>
    </row>
    <row r="141" spans="1:8" x14ac:dyDescent="0.2">
      <c r="A141" s="11">
        <v>116</v>
      </c>
      <c r="B141" s="5" t="s">
        <v>280</v>
      </c>
      <c r="C141" s="11">
        <v>17140959007</v>
      </c>
      <c r="D141" s="5" t="s">
        <v>281</v>
      </c>
      <c r="E141" s="8">
        <v>3027.38</v>
      </c>
      <c r="F141" s="5" t="s">
        <v>10</v>
      </c>
      <c r="G141" s="2" t="s">
        <v>23</v>
      </c>
    </row>
    <row r="142" spans="1:8" x14ac:dyDescent="0.2">
      <c r="A142" s="11">
        <v>117</v>
      </c>
      <c r="B142" s="5" t="s">
        <v>282</v>
      </c>
      <c r="C142" s="11">
        <v>55175013491</v>
      </c>
      <c r="D142" s="5" t="s">
        <v>283</v>
      </c>
      <c r="E142" s="8">
        <f>985.88+1121.63</f>
        <v>2107.5100000000002</v>
      </c>
      <c r="F142" s="5" t="s">
        <v>10</v>
      </c>
      <c r="G142" s="2" t="s">
        <v>23</v>
      </c>
    </row>
    <row r="143" spans="1:8" x14ac:dyDescent="0.2">
      <c r="A143" s="11">
        <v>118</v>
      </c>
      <c r="B143" s="5" t="s">
        <v>284</v>
      </c>
      <c r="C143" s="11">
        <v>10235187780</v>
      </c>
      <c r="D143" s="5" t="s">
        <v>286</v>
      </c>
      <c r="E143" s="8">
        <f>324.78+324.78</f>
        <v>649.55999999999995</v>
      </c>
      <c r="F143" s="5" t="s">
        <v>10</v>
      </c>
      <c r="G143" s="2" t="s">
        <v>285</v>
      </c>
    </row>
    <row r="144" spans="1:8" x14ac:dyDescent="0.2">
      <c r="A144" s="11">
        <v>119</v>
      </c>
      <c r="B144" s="5" t="s">
        <v>288</v>
      </c>
      <c r="C144" s="11">
        <v>41044313807</v>
      </c>
      <c r="D144" s="5" t="s">
        <v>289</v>
      </c>
      <c r="E144" s="8">
        <v>2888.33</v>
      </c>
      <c r="F144" s="5" t="s">
        <v>10</v>
      </c>
      <c r="G144" s="2" t="s">
        <v>287</v>
      </c>
    </row>
    <row r="145" spans="1:7" x14ac:dyDescent="0.2">
      <c r="A145" s="11">
        <v>120</v>
      </c>
      <c r="B145" s="5" t="s">
        <v>290</v>
      </c>
      <c r="C145" s="11">
        <v>40779258479</v>
      </c>
      <c r="D145" s="5" t="s">
        <v>291</v>
      </c>
      <c r="E145" s="8">
        <f>60000+65094.28</f>
        <v>125094.28</v>
      </c>
      <c r="F145" s="5" t="s">
        <v>10</v>
      </c>
      <c r="G145" s="2" t="s">
        <v>23</v>
      </c>
    </row>
    <row r="146" spans="1:7" x14ac:dyDescent="0.2">
      <c r="A146" s="67">
        <v>121</v>
      </c>
      <c r="B146" s="65" t="s">
        <v>293</v>
      </c>
      <c r="C146" s="67">
        <v>65952859647</v>
      </c>
      <c r="D146" s="65" t="s">
        <v>295</v>
      </c>
      <c r="E146" s="8">
        <f>211.25+1757.5</f>
        <v>1968.75</v>
      </c>
      <c r="F146" s="65" t="s">
        <v>10</v>
      </c>
      <c r="G146" s="2" t="s">
        <v>294</v>
      </c>
    </row>
    <row r="147" spans="1:7" x14ac:dyDescent="0.2">
      <c r="A147" s="68"/>
      <c r="B147" s="66"/>
      <c r="C147" s="68"/>
      <c r="D147" s="66"/>
      <c r="E147" s="8">
        <f>6088.75+44610.33</f>
        <v>50699.08</v>
      </c>
      <c r="F147" s="66"/>
      <c r="G147" s="2" t="s">
        <v>23</v>
      </c>
    </row>
    <row r="148" spans="1:7" x14ac:dyDescent="0.2">
      <c r="A148" s="11">
        <v>122</v>
      </c>
      <c r="B148" s="5" t="s">
        <v>296</v>
      </c>
      <c r="C148" s="11">
        <v>83416546499</v>
      </c>
      <c r="D148" s="5" t="s">
        <v>299</v>
      </c>
      <c r="E148" s="8">
        <v>37.49</v>
      </c>
      <c r="F148" s="5" t="s">
        <v>10</v>
      </c>
      <c r="G148" s="2" t="s">
        <v>64</v>
      </c>
    </row>
    <row r="149" spans="1:7" x14ac:dyDescent="0.2">
      <c r="A149" s="11">
        <v>123</v>
      </c>
      <c r="B149" s="5" t="s">
        <v>297</v>
      </c>
      <c r="C149" s="11">
        <v>72836081238</v>
      </c>
      <c r="D149" s="5" t="s">
        <v>298</v>
      </c>
      <c r="E149" s="8">
        <f>7623.2+30850</f>
        <v>38473.199999999997</v>
      </c>
      <c r="F149" s="5" t="s">
        <v>10</v>
      </c>
      <c r="G149" s="2" t="s">
        <v>23</v>
      </c>
    </row>
    <row r="150" spans="1:7" x14ac:dyDescent="0.2">
      <c r="A150" s="11">
        <v>124</v>
      </c>
      <c r="B150" s="5" t="s">
        <v>17</v>
      </c>
      <c r="C150" s="11" t="s">
        <v>17</v>
      </c>
      <c r="D150" s="5" t="s">
        <v>17</v>
      </c>
      <c r="E150" s="8">
        <v>37779.14</v>
      </c>
      <c r="F150" s="5" t="s">
        <v>10</v>
      </c>
      <c r="G150" s="2" t="s">
        <v>300</v>
      </c>
    </row>
    <row r="151" spans="1:7" x14ac:dyDescent="0.2">
      <c r="A151" s="11">
        <v>125</v>
      </c>
      <c r="B151" s="5" t="s">
        <v>301</v>
      </c>
      <c r="C151" s="11">
        <v>60314119747</v>
      </c>
      <c r="D151" s="5" t="s">
        <v>298</v>
      </c>
      <c r="E151" s="8">
        <v>162089.04</v>
      </c>
      <c r="F151" s="5" t="s">
        <v>10</v>
      </c>
      <c r="G151" s="2" t="s">
        <v>23</v>
      </c>
    </row>
    <row r="152" spans="1:7" x14ac:dyDescent="0.2">
      <c r="A152" s="11">
        <v>126</v>
      </c>
      <c r="B152" s="5" t="s">
        <v>302</v>
      </c>
      <c r="C152" s="11" t="s">
        <v>303</v>
      </c>
      <c r="D152" s="5" t="s">
        <v>304</v>
      </c>
      <c r="E152" s="8">
        <v>29211.69</v>
      </c>
      <c r="F152" s="5" t="s">
        <v>10</v>
      </c>
      <c r="G152" s="2" t="s">
        <v>23</v>
      </c>
    </row>
    <row r="153" spans="1:7" x14ac:dyDescent="0.2">
      <c r="A153" s="11">
        <v>127</v>
      </c>
      <c r="B153" s="5" t="s">
        <v>305</v>
      </c>
      <c r="C153" s="11" t="s">
        <v>307</v>
      </c>
      <c r="D153" s="5" t="s">
        <v>306</v>
      </c>
      <c r="E153" s="8">
        <v>24062.62</v>
      </c>
      <c r="F153" s="5" t="s">
        <v>10</v>
      </c>
      <c r="G153" s="2" t="s">
        <v>23</v>
      </c>
    </row>
    <row r="154" spans="1:7" x14ac:dyDescent="0.2">
      <c r="A154" s="11">
        <v>128</v>
      </c>
      <c r="B154" s="5" t="s">
        <v>308</v>
      </c>
      <c r="C154" s="12" t="s">
        <v>310</v>
      </c>
      <c r="D154" s="5" t="s">
        <v>309</v>
      </c>
      <c r="E154" s="8">
        <v>26912.5</v>
      </c>
      <c r="F154" s="5" t="s">
        <v>10</v>
      </c>
      <c r="G154" s="2" t="s">
        <v>23</v>
      </c>
    </row>
    <row r="155" spans="1:7" x14ac:dyDescent="0.2">
      <c r="A155" s="11">
        <v>129</v>
      </c>
      <c r="B155" s="5" t="s">
        <v>311</v>
      </c>
      <c r="C155" s="11">
        <v>95243482140</v>
      </c>
      <c r="D155" s="5" t="s">
        <v>312</v>
      </c>
      <c r="E155" s="8">
        <v>3214.84</v>
      </c>
      <c r="F155" s="5" t="s">
        <v>10</v>
      </c>
      <c r="G155" s="2" t="s">
        <v>23</v>
      </c>
    </row>
    <row r="156" spans="1:7" x14ac:dyDescent="0.2">
      <c r="A156" s="11">
        <v>130</v>
      </c>
      <c r="B156" s="5" t="s">
        <v>313</v>
      </c>
      <c r="C156" s="11">
        <v>74867487620</v>
      </c>
      <c r="D156" s="5" t="s">
        <v>314</v>
      </c>
      <c r="E156" s="8">
        <v>17071.75</v>
      </c>
      <c r="F156" s="5" t="s">
        <v>10</v>
      </c>
      <c r="G156" s="2" t="s">
        <v>23</v>
      </c>
    </row>
    <row r="157" spans="1:7" x14ac:dyDescent="0.2">
      <c r="A157" s="11">
        <v>131</v>
      </c>
      <c r="B157" s="5" t="s">
        <v>315</v>
      </c>
      <c r="C157" s="11">
        <v>98656691838</v>
      </c>
      <c r="D157" s="5" t="s">
        <v>316</v>
      </c>
      <c r="E157" s="8">
        <v>3444.88</v>
      </c>
      <c r="F157" s="5" t="s">
        <v>10</v>
      </c>
      <c r="G157" s="2" t="s">
        <v>23</v>
      </c>
    </row>
    <row r="158" spans="1:7" x14ac:dyDescent="0.2">
      <c r="A158" s="11">
        <v>132</v>
      </c>
      <c r="B158" s="5" t="s">
        <v>317</v>
      </c>
      <c r="C158" s="11" t="s">
        <v>320</v>
      </c>
      <c r="D158" s="5" t="s">
        <v>319</v>
      </c>
      <c r="E158" s="8">
        <v>1087.92</v>
      </c>
      <c r="F158" s="5" t="s">
        <v>10</v>
      </c>
      <c r="G158" s="2" t="s">
        <v>318</v>
      </c>
    </row>
    <row r="159" spans="1:7" x14ac:dyDescent="0.2">
      <c r="A159" s="11">
        <v>133</v>
      </c>
      <c r="B159" s="5" t="s">
        <v>321</v>
      </c>
      <c r="C159" s="11">
        <v>66346732180</v>
      </c>
      <c r="D159" s="5" t="s">
        <v>322</v>
      </c>
      <c r="E159" s="8">
        <v>2612.5</v>
      </c>
      <c r="F159" s="5" t="s">
        <v>10</v>
      </c>
      <c r="G159" s="2" t="s">
        <v>243</v>
      </c>
    </row>
    <row r="160" spans="1:7" x14ac:dyDescent="0.2">
      <c r="A160" s="11">
        <v>134</v>
      </c>
      <c r="B160" s="5" t="s">
        <v>323</v>
      </c>
      <c r="C160" s="11">
        <v>15907062900</v>
      </c>
      <c r="D160" s="5" t="s">
        <v>325</v>
      </c>
      <c r="E160" s="8">
        <v>9017.9500000000007</v>
      </c>
      <c r="F160" s="5" t="s">
        <v>10</v>
      </c>
      <c r="G160" s="2" t="s">
        <v>324</v>
      </c>
    </row>
    <row r="161" spans="1:12" x14ac:dyDescent="0.2">
      <c r="A161" s="11">
        <v>135</v>
      </c>
      <c r="B161" s="5" t="s">
        <v>326</v>
      </c>
      <c r="C161" s="11" t="s">
        <v>328</v>
      </c>
      <c r="D161" s="5" t="s">
        <v>327</v>
      </c>
      <c r="E161" s="8">
        <v>254</v>
      </c>
      <c r="F161" s="5" t="s">
        <v>10</v>
      </c>
      <c r="G161" s="2" t="s">
        <v>23</v>
      </c>
    </row>
    <row r="162" spans="1:12" x14ac:dyDescent="0.2">
      <c r="A162" s="11">
        <v>136</v>
      </c>
      <c r="B162" s="5" t="s">
        <v>329</v>
      </c>
      <c r="C162" s="11">
        <v>84523433179</v>
      </c>
      <c r="D162" s="5" t="s">
        <v>331</v>
      </c>
      <c r="E162" s="8">
        <v>263.01</v>
      </c>
      <c r="F162" s="5" t="s">
        <v>10</v>
      </c>
      <c r="G162" s="2" t="s">
        <v>330</v>
      </c>
    </row>
    <row r="163" spans="1:12" x14ac:dyDescent="0.2">
      <c r="A163" s="11">
        <v>137</v>
      </c>
      <c r="B163" s="5" t="s">
        <v>332</v>
      </c>
      <c r="C163" s="12" t="s">
        <v>334</v>
      </c>
      <c r="D163" s="5" t="s">
        <v>333</v>
      </c>
      <c r="E163" s="8">
        <v>317</v>
      </c>
      <c r="F163" s="5" t="s">
        <v>10</v>
      </c>
      <c r="G163" s="2" t="s">
        <v>330</v>
      </c>
    </row>
    <row r="164" spans="1:12" x14ac:dyDescent="0.2">
      <c r="A164" s="11">
        <v>138</v>
      </c>
      <c r="B164" s="5" t="s">
        <v>335</v>
      </c>
      <c r="C164" s="11">
        <v>33302328387</v>
      </c>
      <c r="D164" s="5" t="s">
        <v>336</v>
      </c>
      <c r="E164" s="8">
        <v>23693.8</v>
      </c>
      <c r="F164" s="5" t="s">
        <v>10</v>
      </c>
      <c r="G164" s="2" t="s">
        <v>260</v>
      </c>
    </row>
    <row r="165" spans="1:12" x14ac:dyDescent="0.2">
      <c r="A165" s="11">
        <v>139</v>
      </c>
      <c r="B165" s="5" t="s">
        <v>337</v>
      </c>
      <c r="C165" s="11">
        <v>97994010225</v>
      </c>
      <c r="D165" s="5" t="s">
        <v>338</v>
      </c>
      <c r="E165" s="8">
        <v>1720.99</v>
      </c>
      <c r="F165" s="5" t="s">
        <v>10</v>
      </c>
      <c r="G165" s="2" t="s">
        <v>23</v>
      </c>
    </row>
    <row r="166" spans="1:12" x14ac:dyDescent="0.2">
      <c r="A166" s="11">
        <v>140</v>
      </c>
      <c r="B166" s="5" t="s">
        <v>339</v>
      </c>
      <c r="C166" s="11">
        <v>22740118957</v>
      </c>
      <c r="D166" s="5" t="s">
        <v>340</v>
      </c>
      <c r="E166" s="8">
        <v>6853.44</v>
      </c>
      <c r="F166" s="5" t="s">
        <v>10</v>
      </c>
      <c r="G166" s="2" t="s">
        <v>23</v>
      </c>
    </row>
    <row r="167" spans="1:12" x14ac:dyDescent="0.2">
      <c r="A167" s="11">
        <v>141</v>
      </c>
      <c r="B167" s="5" t="s">
        <v>341</v>
      </c>
      <c r="C167" s="11">
        <v>78969071801</v>
      </c>
      <c r="D167" s="5" t="s">
        <v>342</v>
      </c>
      <c r="E167" s="8">
        <v>1488.2</v>
      </c>
      <c r="F167" s="5" t="s">
        <v>10</v>
      </c>
      <c r="G167" s="2" t="s">
        <v>23</v>
      </c>
      <c r="J167" s="13"/>
    </row>
    <row r="168" spans="1:12" x14ac:dyDescent="0.2">
      <c r="A168" s="11">
        <v>142</v>
      </c>
      <c r="B168" s="5" t="s">
        <v>623</v>
      </c>
      <c r="C168" s="11">
        <v>90591998649</v>
      </c>
      <c r="D168" s="5" t="s">
        <v>624</v>
      </c>
      <c r="E168" s="8">
        <f>63.3-31.88</f>
        <v>31.419999999999998</v>
      </c>
      <c r="F168" s="5" t="s">
        <v>10</v>
      </c>
      <c r="G168" s="2" t="s">
        <v>23</v>
      </c>
    </row>
    <row r="169" spans="1:12" x14ac:dyDescent="0.2">
      <c r="A169" s="11">
        <v>143</v>
      </c>
      <c r="B169" s="5" t="s">
        <v>343</v>
      </c>
      <c r="C169" s="11">
        <v>79730786156</v>
      </c>
      <c r="D169" s="5" t="s">
        <v>344</v>
      </c>
      <c r="E169" s="8">
        <v>120</v>
      </c>
      <c r="F169" s="5" t="s">
        <v>10</v>
      </c>
      <c r="G169" s="2" t="s">
        <v>330</v>
      </c>
    </row>
    <row r="170" spans="1:12" x14ac:dyDescent="0.2">
      <c r="A170" s="11">
        <v>144</v>
      </c>
      <c r="B170" s="5" t="s">
        <v>345</v>
      </c>
      <c r="C170" s="11">
        <v>47530485643</v>
      </c>
      <c r="D170" s="5" t="s">
        <v>346</v>
      </c>
      <c r="E170" s="8">
        <v>7150</v>
      </c>
      <c r="F170" s="5" t="s">
        <v>10</v>
      </c>
      <c r="G170" s="2" t="s">
        <v>23</v>
      </c>
    </row>
    <row r="171" spans="1:12" x14ac:dyDescent="0.2">
      <c r="A171" s="11">
        <v>145</v>
      </c>
      <c r="B171" s="5" t="s">
        <v>347</v>
      </c>
      <c r="C171" s="11">
        <v>51892779522</v>
      </c>
      <c r="D171" s="5" t="s">
        <v>348</v>
      </c>
      <c r="E171" s="8">
        <v>9375</v>
      </c>
      <c r="F171" s="5" t="s">
        <v>10</v>
      </c>
      <c r="G171" s="2" t="s">
        <v>23</v>
      </c>
      <c r="L171" s="21"/>
    </row>
    <row r="172" spans="1:12" x14ac:dyDescent="0.2">
      <c r="A172" s="11">
        <v>146</v>
      </c>
      <c r="B172" s="5" t="s">
        <v>349</v>
      </c>
      <c r="C172" s="11">
        <v>31022857153</v>
      </c>
      <c r="D172" s="5" t="s">
        <v>351</v>
      </c>
      <c r="E172" s="8">
        <v>12828.59</v>
      </c>
      <c r="F172" s="5" t="s">
        <v>10</v>
      </c>
      <c r="G172" s="2" t="s">
        <v>350</v>
      </c>
    </row>
    <row r="173" spans="1:12" x14ac:dyDescent="0.2">
      <c r="A173" s="11">
        <v>147</v>
      </c>
      <c r="B173" s="5" t="s">
        <v>352</v>
      </c>
      <c r="C173" s="12" t="s">
        <v>354</v>
      </c>
      <c r="D173" s="5" t="s">
        <v>353</v>
      </c>
      <c r="E173" s="8">
        <v>1792</v>
      </c>
      <c r="F173" s="5" t="s">
        <v>10</v>
      </c>
      <c r="G173" s="2" t="s">
        <v>23</v>
      </c>
    </row>
    <row r="174" spans="1:12" x14ac:dyDescent="0.2">
      <c r="A174" s="11">
        <v>148</v>
      </c>
      <c r="B174" s="5" t="s">
        <v>355</v>
      </c>
      <c r="C174" s="11">
        <v>25577810707</v>
      </c>
      <c r="D174" s="5" t="s">
        <v>356</v>
      </c>
      <c r="E174" s="8">
        <v>322.11</v>
      </c>
      <c r="F174" s="5" t="s">
        <v>10</v>
      </c>
      <c r="G174" s="2" t="s">
        <v>23</v>
      </c>
    </row>
    <row r="175" spans="1:12" x14ac:dyDescent="0.2">
      <c r="A175" s="11">
        <v>149</v>
      </c>
      <c r="B175" s="5" t="s">
        <v>357</v>
      </c>
      <c r="C175" s="11">
        <v>48805424054</v>
      </c>
      <c r="D175" s="5" t="s">
        <v>358</v>
      </c>
      <c r="E175" s="8">
        <v>66.2</v>
      </c>
      <c r="F175" s="5" t="s">
        <v>10</v>
      </c>
      <c r="G175" s="2" t="s">
        <v>330</v>
      </c>
    </row>
    <row r="176" spans="1:12" x14ac:dyDescent="0.2">
      <c r="A176" s="11">
        <v>150</v>
      </c>
      <c r="B176" s="5" t="s">
        <v>359</v>
      </c>
      <c r="C176" s="11">
        <v>25172103343</v>
      </c>
      <c r="D176" s="5" t="s">
        <v>360</v>
      </c>
      <c r="E176" s="8">
        <v>5230.59</v>
      </c>
      <c r="F176" s="5" t="s">
        <v>10</v>
      </c>
      <c r="G176" s="2" t="s">
        <v>362</v>
      </c>
    </row>
    <row r="177" spans="1:7" x14ac:dyDescent="0.2">
      <c r="A177" s="11">
        <v>151</v>
      </c>
      <c r="B177" s="5" t="s">
        <v>361</v>
      </c>
      <c r="C177" s="11">
        <v>86742905038</v>
      </c>
      <c r="D177" s="5" t="s">
        <v>363</v>
      </c>
      <c r="E177" s="8">
        <v>1495</v>
      </c>
      <c r="F177" s="5" t="s">
        <v>10</v>
      </c>
      <c r="G177" s="2" t="s">
        <v>287</v>
      </c>
    </row>
    <row r="178" spans="1:7" x14ac:dyDescent="0.2">
      <c r="A178" s="11">
        <v>152</v>
      </c>
      <c r="B178" s="5" t="s">
        <v>364</v>
      </c>
      <c r="C178" s="11">
        <v>42769559951</v>
      </c>
      <c r="D178" s="5" t="s">
        <v>365</v>
      </c>
      <c r="E178" s="8">
        <v>4972.68</v>
      </c>
      <c r="F178" s="5" t="s">
        <v>10</v>
      </c>
      <c r="G178" s="2" t="s">
        <v>23</v>
      </c>
    </row>
    <row r="179" spans="1:7" x14ac:dyDescent="0.2">
      <c r="A179" s="67">
        <v>153</v>
      </c>
      <c r="B179" s="65" t="s">
        <v>366</v>
      </c>
      <c r="C179" s="67">
        <v>66181750806</v>
      </c>
      <c r="D179" s="65" t="s">
        <v>251</v>
      </c>
      <c r="E179" s="8">
        <v>2441.13</v>
      </c>
      <c r="F179" s="65" t="s">
        <v>10</v>
      </c>
      <c r="G179" s="2" t="s">
        <v>367</v>
      </c>
    </row>
    <row r="180" spans="1:7" x14ac:dyDescent="0.2">
      <c r="A180" s="68"/>
      <c r="B180" s="66"/>
      <c r="C180" s="68"/>
      <c r="D180" s="66"/>
      <c r="E180" s="8">
        <v>530.44000000000005</v>
      </c>
      <c r="F180" s="66"/>
      <c r="G180" s="2" t="s">
        <v>368</v>
      </c>
    </row>
    <row r="181" spans="1:7" x14ac:dyDescent="0.2">
      <c r="A181" s="11">
        <v>154</v>
      </c>
      <c r="B181" s="5" t="s">
        <v>369</v>
      </c>
      <c r="C181" s="11" t="s">
        <v>371</v>
      </c>
      <c r="D181" s="5" t="s">
        <v>370</v>
      </c>
      <c r="E181" s="8">
        <v>3212.7</v>
      </c>
      <c r="F181" s="5" t="s">
        <v>10</v>
      </c>
      <c r="G181" s="2" t="s">
        <v>23</v>
      </c>
    </row>
    <row r="182" spans="1:7" x14ac:dyDescent="0.2">
      <c r="A182" s="11">
        <v>155</v>
      </c>
      <c r="B182" s="5" t="s">
        <v>372</v>
      </c>
      <c r="C182" s="11">
        <v>64021574271</v>
      </c>
      <c r="D182" s="5" t="s">
        <v>373</v>
      </c>
      <c r="E182" s="8">
        <v>769.19</v>
      </c>
      <c r="F182" s="5" t="s">
        <v>10</v>
      </c>
      <c r="G182" s="2" t="s">
        <v>23</v>
      </c>
    </row>
    <row r="183" spans="1:7" x14ac:dyDescent="0.2">
      <c r="A183" s="11">
        <v>156</v>
      </c>
      <c r="B183" s="5" t="s">
        <v>374</v>
      </c>
      <c r="C183" s="11">
        <v>48249084626</v>
      </c>
      <c r="D183" s="5" t="s">
        <v>375</v>
      </c>
      <c r="E183" s="8">
        <v>2801.34</v>
      </c>
      <c r="F183" s="5" t="s">
        <v>10</v>
      </c>
      <c r="G183" s="2" t="s">
        <v>23</v>
      </c>
    </row>
    <row r="184" spans="1:7" x14ac:dyDescent="0.2">
      <c r="A184" s="11">
        <v>157</v>
      </c>
      <c r="B184" s="5" t="s">
        <v>376</v>
      </c>
      <c r="C184" s="11">
        <v>26901839603</v>
      </c>
      <c r="D184" s="5" t="s">
        <v>377</v>
      </c>
      <c r="E184" s="8">
        <v>3584.55</v>
      </c>
      <c r="F184" s="5" t="s">
        <v>10</v>
      </c>
      <c r="G184" s="2" t="s">
        <v>23</v>
      </c>
    </row>
    <row r="185" spans="1:7" x14ac:dyDescent="0.2">
      <c r="A185" s="11">
        <v>158</v>
      </c>
      <c r="B185" s="5" t="s">
        <v>378</v>
      </c>
      <c r="C185" s="11">
        <v>32586594426</v>
      </c>
      <c r="D185" s="5" t="s">
        <v>379</v>
      </c>
      <c r="E185" s="8">
        <v>7012.5</v>
      </c>
      <c r="F185" s="5" t="s">
        <v>10</v>
      </c>
      <c r="G185" s="2" t="s">
        <v>23</v>
      </c>
    </row>
    <row r="186" spans="1:7" x14ac:dyDescent="0.2">
      <c r="A186" s="11">
        <v>159</v>
      </c>
      <c r="B186" s="5" t="s">
        <v>380</v>
      </c>
      <c r="C186" s="11">
        <v>52641439848</v>
      </c>
      <c r="D186" s="5" t="s">
        <v>381</v>
      </c>
      <c r="E186" s="8">
        <v>58.5</v>
      </c>
      <c r="F186" s="5" t="s">
        <v>10</v>
      </c>
      <c r="G186" s="2" t="s">
        <v>23</v>
      </c>
    </row>
    <row r="187" spans="1:7" x14ac:dyDescent="0.2">
      <c r="A187" s="11">
        <v>160</v>
      </c>
      <c r="B187" s="5" t="s">
        <v>627</v>
      </c>
      <c r="C187" s="12" t="s">
        <v>628</v>
      </c>
      <c r="D187" s="5" t="s">
        <v>629</v>
      </c>
      <c r="E187" s="8">
        <v>4.2</v>
      </c>
      <c r="F187" s="5" t="s">
        <v>10</v>
      </c>
      <c r="G187" s="2" t="s">
        <v>23</v>
      </c>
    </row>
    <row r="188" spans="1:7" x14ac:dyDescent="0.2">
      <c r="A188" s="11">
        <v>161</v>
      </c>
      <c r="B188" s="5" t="s">
        <v>630</v>
      </c>
      <c r="C188" s="11">
        <v>68372221964</v>
      </c>
      <c r="D188" s="5" t="s">
        <v>631</v>
      </c>
      <c r="E188" s="8">
        <v>8.3000000000000007</v>
      </c>
      <c r="F188" s="5" t="s">
        <v>10</v>
      </c>
      <c r="G188" s="2" t="s">
        <v>23</v>
      </c>
    </row>
    <row r="189" spans="1:7" x14ac:dyDescent="0.2">
      <c r="A189" s="11">
        <v>162</v>
      </c>
      <c r="B189" s="5" t="s">
        <v>382</v>
      </c>
      <c r="C189" s="11">
        <v>76080865307</v>
      </c>
      <c r="D189" s="5" t="s">
        <v>383</v>
      </c>
      <c r="E189" s="8">
        <v>38.159999999999997</v>
      </c>
      <c r="F189" s="5" t="s">
        <v>10</v>
      </c>
      <c r="G189" s="2" t="s">
        <v>287</v>
      </c>
    </row>
    <row r="190" spans="1:7" x14ac:dyDescent="0.2">
      <c r="A190" s="11">
        <v>163</v>
      </c>
      <c r="B190" s="5" t="s">
        <v>384</v>
      </c>
      <c r="C190" s="11">
        <v>32047404941</v>
      </c>
      <c r="D190" s="5" t="s">
        <v>385</v>
      </c>
      <c r="E190" s="8">
        <v>8831.18</v>
      </c>
      <c r="F190" s="5" t="s">
        <v>10</v>
      </c>
      <c r="G190" s="2" t="s">
        <v>23</v>
      </c>
    </row>
    <row r="191" spans="1:7" x14ac:dyDescent="0.2">
      <c r="A191" s="11">
        <v>164</v>
      </c>
      <c r="B191" s="5" t="s">
        <v>386</v>
      </c>
      <c r="C191" s="11">
        <v>60365429880</v>
      </c>
      <c r="D191" s="5" t="s">
        <v>387</v>
      </c>
      <c r="E191" s="8">
        <v>980.3</v>
      </c>
      <c r="F191" s="5" t="s">
        <v>10</v>
      </c>
      <c r="G191" s="2" t="s">
        <v>23</v>
      </c>
    </row>
    <row r="192" spans="1:7" x14ac:dyDescent="0.2">
      <c r="A192" s="11">
        <v>165</v>
      </c>
      <c r="B192" s="5" t="s">
        <v>388</v>
      </c>
      <c r="C192" s="11" t="s">
        <v>390</v>
      </c>
      <c r="D192" s="5" t="s">
        <v>389</v>
      </c>
      <c r="E192" s="8">
        <v>19600</v>
      </c>
      <c r="F192" s="5" t="s">
        <v>10</v>
      </c>
      <c r="G192" s="2" t="s">
        <v>23</v>
      </c>
    </row>
    <row r="193" spans="1:7" x14ac:dyDescent="0.2">
      <c r="A193" s="11">
        <v>166</v>
      </c>
      <c r="B193" s="5" t="s">
        <v>391</v>
      </c>
      <c r="C193" s="11">
        <v>37879152548</v>
      </c>
      <c r="D193" s="5" t="s">
        <v>392</v>
      </c>
      <c r="E193" s="8">
        <v>2772.3</v>
      </c>
      <c r="F193" s="5" t="s">
        <v>10</v>
      </c>
      <c r="G193" s="2" t="s">
        <v>23</v>
      </c>
    </row>
    <row r="194" spans="1:7" x14ac:dyDescent="0.2">
      <c r="A194" s="11">
        <v>167</v>
      </c>
      <c r="B194" s="5" t="s">
        <v>393</v>
      </c>
      <c r="C194" s="11">
        <v>90439696130</v>
      </c>
      <c r="D194" s="5" t="s">
        <v>394</v>
      </c>
      <c r="E194" s="8">
        <v>1030.05</v>
      </c>
      <c r="F194" s="5" t="s">
        <v>10</v>
      </c>
      <c r="G194" s="2" t="s">
        <v>23</v>
      </c>
    </row>
    <row r="195" spans="1:7" x14ac:dyDescent="0.2">
      <c r="A195" s="11">
        <v>168</v>
      </c>
      <c r="B195" s="5" t="s">
        <v>395</v>
      </c>
      <c r="C195" s="11">
        <v>39048902955</v>
      </c>
      <c r="D195" s="5" t="s">
        <v>396</v>
      </c>
      <c r="E195" s="8">
        <v>515.08000000000004</v>
      </c>
      <c r="F195" s="5" t="s">
        <v>10</v>
      </c>
      <c r="G195" s="2" t="s">
        <v>64</v>
      </c>
    </row>
    <row r="196" spans="1:7" x14ac:dyDescent="0.2">
      <c r="A196" s="11">
        <v>169</v>
      </c>
      <c r="B196" s="5" t="s">
        <v>397</v>
      </c>
      <c r="C196" s="11">
        <v>85375838060</v>
      </c>
      <c r="D196" s="5" t="s">
        <v>398</v>
      </c>
      <c r="E196" s="8">
        <v>318.05</v>
      </c>
      <c r="F196" s="5" t="s">
        <v>10</v>
      </c>
      <c r="G196" s="2" t="s">
        <v>64</v>
      </c>
    </row>
    <row r="197" spans="1:7" x14ac:dyDescent="0.2">
      <c r="A197" s="11">
        <v>170</v>
      </c>
      <c r="B197" s="5" t="s">
        <v>399</v>
      </c>
      <c r="C197" s="11">
        <v>70140364776</v>
      </c>
      <c r="D197" s="5" t="s">
        <v>400</v>
      </c>
      <c r="E197" s="8">
        <v>6689.53</v>
      </c>
      <c r="F197" s="5" t="s">
        <v>10</v>
      </c>
      <c r="G197" s="2" t="s">
        <v>263</v>
      </c>
    </row>
    <row r="198" spans="1:7" x14ac:dyDescent="0.2">
      <c r="A198" s="11">
        <v>171</v>
      </c>
      <c r="B198" s="5" t="s">
        <v>401</v>
      </c>
      <c r="C198" s="11">
        <v>55614719992</v>
      </c>
      <c r="D198" s="5" t="s">
        <v>402</v>
      </c>
      <c r="E198" s="8">
        <v>2148.36</v>
      </c>
      <c r="F198" s="5" t="s">
        <v>10</v>
      </c>
      <c r="G198" s="2" t="s">
        <v>23</v>
      </c>
    </row>
    <row r="199" spans="1:7" x14ac:dyDescent="0.2">
      <c r="A199" s="11">
        <v>172</v>
      </c>
      <c r="B199" s="5" t="s">
        <v>403</v>
      </c>
      <c r="C199" s="11">
        <v>95325472047</v>
      </c>
      <c r="D199" s="5" t="s">
        <v>404</v>
      </c>
      <c r="E199" s="8">
        <v>149847.79999999999</v>
      </c>
      <c r="F199" s="5" t="s">
        <v>10</v>
      </c>
      <c r="G199" s="2" t="s">
        <v>23</v>
      </c>
    </row>
    <row r="200" spans="1:7" x14ac:dyDescent="0.2">
      <c r="A200" s="11">
        <v>173</v>
      </c>
      <c r="B200" s="5" t="s">
        <v>405</v>
      </c>
      <c r="C200" s="11">
        <v>38411868043</v>
      </c>
      <c r="D200" s="5" t="s">
        <v>406</v>
      </c>
      <c r="E200" s="8">
        <v>1462.5</v>
      </c>
      <c r="F200" s="5" t="s">
        <v>10</v>
      </c>
      <c r="G200" s="2" t="s">
        <v>23</v>
      </c>
    </row>
    <row r="201" spans="1:7" x14ac:dyDescent="0.2">
      <c r="A201" s="11">
        <v>174</v>
      </c>
      <c r="B201" s="5" t="s">
        <v>407</v>
      </c>
      <c r="C201" s="11">
        <v>89027343720</v>
      </c>
      <c r="D201" s="5" t="s">
        <v>408</v>
      </c>
      <c r="E201" s="8">
        <v>780.96</v>
      </c>
      <c r="F201" s="5" t="s">
        <v>10</v>
      </c>
      <c r="G201" s="2" t="s">
        <v>23</v>
      </c>
    </row>
    <row r="202" spans="1:7" x14ac:dyDescent="0.2">
      <c r="A202" s="11">
        <v>175</v>
      </c>
      <c r="B202" s="5" t="s">
        <v>409</v>
      </c>
      <c r="C202" s="11">
        <v>17145318195</v>
      </c>
      <c r="D202" s="5" t="s">
        <v>410</v>
      </c>
      <c r="E202" s="8">
        <v>807.1</v>
      </c>
      <c r="F202" s="5" t="s">
        <v>10</v>
      </c>
      <c r="G202" s="2" t="s">
        <v>23</v>
      </c>
    </row>
    <row r="203" spans="1:7" x14ac:dyDescent="0.2">
      <c r="A203" s="11">
        <v>176</v>
      </c>
      <c r="B203" s="5" t="s">
        <v>411</v>
      </c>
      <c r="C203" s="11">
        <v>110752628</v>
      </c>
      <c r="D203" s="5" t="s">
        <v>414</v>
      </c>
      <c r="E203" s="8">
        <v>116.64</v>
      </c>
      <c r="F203" s="5" t="s">
        <v>10</v>
      </c>
      <c r="G203" s="2" t="s">
        <v>23</v>
      </c>
    </row>
    <row r="204" spans="1:7" x14ac:dyDescent="0.2">
      <c r="A204" s="11">
        <v>177</v>
      </c>
      <c r="B204" s="5" t="s">
        <v>412</v>
      </c>
      <c r="C204" s="11">
        <v>85611744662</v>
      </c>
      <c r="D204" s="5" t="s">
        <v>413</v>
      </c>
      <c r="E204" s="8">
        <v>1024.3900000000001</v>
      </c>
      <c r="F204" s="5" t="s">
        <v>10</v>
      </c>
      <c r="G204" s="2" t="s">
        <v>23</v>
      </c>
    </row>
    <row r="205" spans="1:7" x14ac:dyDescent="0.2">
      <c r="A205" s="11">
        <v>178</v>
      </c>
      <c r="B205" s="5" t="s">
        <v>262</v>
      </c>
      <c r="C205" s="11">
        <v>41317489366</v>
      </c>
      <c r="D205" s="5" t="s">
        <v>264</v>
      </c>
      <c r="E205" s="8">
        <v>3565.49</v>
      </c>
      <c r="F205" s="5" t="s">
        <v>10</v>
      </c>
      <c r="G205" s="2" t="s">
        <v>263</v>
      </c>
    </row>
    <row r="206" spans="1:7" x14ac:dyDescent="0.2">
      <c r="A206" s="11">
        <v>179</v>
      </c>
      <c r="B206" s="5" t="s">
        <v>415</v>
      </c>
      <c r="C206" s="11" t="s">
        <v>417</v>
      </c>
      <c r="D206" s="5" t="s">
        <v>416</v>
      </c>
      <c r="E206" s="8">
        <v>793.44</v>
      </c>
      <c r="F206" s="5" t="s">
        <v>10</v>
      </c>
      <c r="G206" s="2" t="s">
        <v>23</v>
      </c>
    </row>
    <row r="207" spans="1:7" x14ac:dyDescent="0.2">
      <c r="A207" s="11">
        <v>180</v>
      </c>
      <c r="B207" s="5" t="s">
        <v>418</v>
      </c>
      <c r="C207" s="11">
        <v>73777060562</v>
      </c>
      <c r="D207" s="5" t="s">
        <v>419</v>
      </c>
      <c r="E207" s="8">
        <v>594.92999999999995</v>
      </c>
      <c r="F207" s="5" t="s">
        <v>10</v>
      </c>
      <c r="G207" s="2" t="s">
        <v>23</v>
      </c>
    </row>
    <row r="208" spans="1:7" x14ac:dyDescent="0.2">
      <c r="A208" s="11">
        <v>181</v>
      </c>
      <c r="B208" s="5" t="s">
        <v>420</v>
      </c>
      <c r="C208" s="11">
        <v>57495737984</v>
      </c>
      <c r="D208" s="5" t="s">
        <v>421</v>
      </c>
      <c r="E208" s="8">
        <v>1650.54</v>
      </c>
      <c r="F208" s="5" t="s">
        <v>10</v>
      </c>
      <c r="G208" s="2" t="s">
        <v>287</v>
      </c>
    </row>
    <row r="209" spans="1:7" x14ac:dyDescent="0.2">
      <c r="A209" s="11">
        <v>182</v>
      </c>
      <c r="B209" s="5" t="s">
        <v>422</v>
      </c>
      <c r="C209" s="11">
        <v>71564583769</v>
      </c>
      <c r="D209" s="5" t="s">
        <v>423</v>
      </c>
      <c r="E209" s="8">
        <v>27.5</v>
      </c>
      <c r="F209" s="5" t="s">
        <v>10</v>
      </c>
      <c r="G209" s="2" t="s">
        <v>23</v>
      </c>
    </row>
    <row r="210" spans="1:7" x14ac:dyDescent="0.2">
      <c r="A210" s="11">
        <v>183</v>
      </c>
      <c r="B210" s="5" t="s">
        <v>424</v>
      </c>
      <c r="C210" s="11">
        <v>40480660548</v>
      </c>
      <c r="D210" s="5" t="s">
        <v>425</v>
      </c>
      <c r="E210" s="8">
        <v>4062.5</v>
      </c>
      <c r="F210" s="5" t="s">
        <v>10</v>
      </c>
      <c r="G210" s="2" t="s">
        <v>23</v>
      </c>
    </row>
    <row r="211" spans="1:7" x14ac:dyDescent="0.2">
      <c r="A211" s="11">
        <v>184</v>
      </c>
      <c r="B211" s="5" t="s">
        <v>426</v>
      </c>
      <c r="C211" s="11">
        <v>65553879500</v>
      </c>
      <c r="D211" s="5" t="s">
        <v>427</v>
      </c>
      <c r="E211" s="8">
        <v>81.3</v>
      </c>
      <c r="F211" s="5" t="s">
        <v>10</v>
      </c>
      <c r="G211" s="2" t="s">
        <v>23</v>
      </c>
    </row>
    <row r="212" spans="1:7" x14ac:dyDescent="0.2">
      <c r="A212" s="11">
        <v>185</v>
      </c>
      <c r="B212" s="5" t="s">
        <v>428</v>
      </c>
      <c r="C212" s="11">
        <v>53785632625</v>
      </c>
      <c r="D212" s="5" t="s">
        <v>429</v>
      </c>
      <c r="E212" s="8">
        <v>1765.7</v>
      </c>
      <c r="F212" s="5" t="s">
        <v>10</v>
      </c>
      <c r="G212" s="2" t="s">
        <v>23</v>
      </c>
    </row>
    <row r="213" spans="1:7" x14ac:dyDescent="0.2">
      <c r="A213" s="11">
        <v>186</v>
      </c>
      <c r="B213" s="5" t="s">
        <v>614</v>
      </c>
      <c r="C213" s="11">
        <v>27050468625</v>
      </c>
      <c r="D213" s="5" t="s">
        <v>615</v>
      </c>
      <c r="E213" s="8">
        <v>7.1</v>
      </c>
      <c r="F213" s="5" t="s">
        <v>10</v>
      </c>
      <c r="G213" s="2" t="s">
        <v>23</v>
      </c>
    </row>
    <row r="214" spans="1:7" x14ac:dyDescent="0.2">
      <c r="A214" s="11">
        <v>187</v>
      </c>
      <c r="B214" s="5" t="s">
        <v>625</v>
      </c>
      <c r="C214" s="11">
        <v>11200073958</v>
      </c>
      <c r="D214" s="5" t="s">
        <v>626</v>
      </c>
      <c r="E214" s="8">
        <v>19.5</v>
      </c>
      <c r="F214" s="5" t="s">
        <v>10</v>
      </c>
      <c r="G214" s="2" t="s">
        <v>23</v>
      </c>
    </row>
    <row r="215" spans="1:7" x14ac:dyDescent="0.2">
      <c r="A215" s="11">
        <v>188</v>
      </c>
      <c r="B215" s="5" t="s">
        <v>430</v>
      </c>
      <c r="C215" s="11">
        <v>39881074944</v>
      </c>
      <c r="D215" s="5" t="s">
        <v>431</v>
      </c>
      <c r="E215" s="8">
        <v>159.08000000000001</v>
      </c>
      <c r="F215" s="5" t="s">
        <v>10</v>
      </c>
      <c r="G215" s="2" t="s">
        <v>23</v>
      </c>
    </row>
    <row r="216" spans="1:7" x14ac:dyDescent="0.2">
      <c r="A216" s="11">
        <v>189</v>
      </c>
      <c r="B216" s="5" t="s">
        <v>432</v>
      </c>
      <c r="C216" s="11">
        <v>48633701387</v>
      </c>
      <c r="D216" s="5" t="s">
        <v>433</v>
      </c>
      <c r="E216" s="8">
        <v>224.29</v>
      </c>
      <c r="F216" s="5" t="s">
        <v>10</v>
      </c>
      <c r="G216" s="2" t="s">
        <v>23</v>
      </c>
    </row>
    <row r="217" spans="1:7" x14ac:dyDescent="0.2">
      <c r="A217" s="11">
        <v>190</v>
      </c>
      <c r="B217" s="5" t="s">
        <v>434</v>
      </c>
      <c r="C217" s="11" t="s">
        <v>436</v>
      </c>
      <c r="D217" s="5" t="s">
        <v>435</v>
      </c>
      <c r="E217" s="8">
        <v>988.5</v>
      </c>
      <c r="F217" s="5" t="s">
        <v>10</v>
      </c>
      <c r="G217" s="2" t="s">
        <v>130</v>
      </c>
    </row>
    <row r="218" spans="1:7" x14ac:dyDescent="0.2">
      <c r="A218" s="11">
        <v>191</v>
      </c>
      <c r="B218" s="5" t="s">
        <v>437</v>
      </c>
      <c r="C218" s="11">
        <v>76147579166</v>
      </c>
      <c r="D218" s="5" t="s">
        <v>438</v>
      </c>
      <c r="E218" s="8">
        <v>375.48</v>
      </c>
      <c r="F218" s="5" t="s">
        <v>10</v>
      </c>
      <c r="G218" s="2" t="s">
        <v>23</v>
      </c>
    </row>
    <row r="219" spans="1:7" x14ac:dyDescent="0.2">
      <c r="A219" s="11">
        <v>192</v>
      </c>
      <c r="B219" s="5" t="s">
        <v>439</v>
      </c>
      <c r="C219" s="11">
        <v>48841983787</v>
      </c>
      <c r="D219" s="5" t="s">
        <v>440</v>
      </c>
      <c r="E219" s="8">
        <v>731.38</v>
      </c>
      <c r="F219" s="5" t="s">
        <v>10</v>
      </c>
      <c r="G219" s="2" t="s">
        <v>23</v>
      </c>
    </row>
    <row r="220" spans="1:7" x14ac:dyDescent="0.2">
      <c r="A220" s="11">
        <v>193</v>
      </c>
      <c r="B220" s="5" t="s">
        <v>441</v>
      </c>
      <c r="C220" s="11">
        <v>12443607100</v>
      </c>
      <c r="D220" s="5" t="s">
        <v>442</v>
      </c>
      <c r="E220" s="8">
        <v>6163.13</v>
      </c>
      <c r="F220" s="5" t="s">
        <v>10</v>
      </c>
      <c r="G220" s="2" t="s">
        <v>23</v>
      </c>
    </row>
    <row r="221" spans="1:7" x14ac:dyDescent="0.2">
      <c r="A221" s="11">
        <v>194</v>
      </c>
      <c r="B221" s="5" t="s">
        <v>443</v>
      </c>
      <c r="C221" s="11" t="s">
        <v>17</v>
      </c>
      <c r="D221" s="5" t="s">
        <v>17</v>
      </c>
      <c r="E221" s="8">
        <v>200</v>
      </c>
      <c r="F221" s="5" t="s">
        <v>10</v>
      </c>
      <c r="G221" s="2" t="s">
        <v>179</v>
      </c>
    </row>
    <row r="222" spans="1:7" x14ac:dyDescent="0.2">
      <c r="A222" s="11">
        <v>195</v>
      </c>
      <c r="B222" s="5" t="s">
        <v>444</v>
      </c>
      <c r="C222" s="11">
        <v>91330201308</v>
      </c>
      <c r="D222" s="5" t="s">
        <v>445</v>
      </c>
      <c r="E222" s="8">
        <v>447.66</v>
      </c>
      <c r="F222" s="5" t="s">
        <v>10</v>
      </c>
      <c r="G222" s="2" t="s">
        <v>23</v>
      </c>
    </row>
    <row r="223" spans="1:7" x14ac:dyDescent="0.2">
      <c r="A223" s="11">
        <v>196</v>
      </c>
      <c r="B223" s="5" t="s">
        <v>446</v>
      </c>
      <c r="C223" s="11">
        <v>29035933600</v>
      </c>
      <c r="D223" s="5" t="s">
        <v>447</v>
      </c>
      <c r="E223" s="8">
        <v>11361.97</v>
      </c>
      <c r="F223" s="5" t="s">
        <v>10</v>
      </c>
      <c r="G223" s="2" t="s">
        <v>263</v>
      </c>
    </row>
    <row r="224" spans="1:7" x14ac:dyDescent="0.2">
      <c r="A224" s="11">
        <v>197</v>
      </c>
      <c r="B224" s="5" t="s">
        <v>448</v>
      </c>
      <c r="C224" s="11">
        <v>46412753402</v>
      </c>
      <c r="D224" s="5" t="s">
        <v>450</v>
      </c>
      <c r="E224" s="8">
        <v>6237.5</v>
      </c>
      <c r="F224" s="5" t="s">
        <v>10</v>
      </c>
      <c r="G224" s="2" t="s">
        <v>449</v>
      </c>
    </row>
    <row r="225" spans="1:7" x14ac:dyDescent="0.2">
      <c r="A225" s="11">
        <v>198</v>
      </c>
      <c r="B225" s="5" t="s">
        <v>451</v>
      </c>
      <c r="C225" s="11" t="s">
        <v>452</v>
      </c>
      <c r="D225" s="5" t="s">
        <v>453</v>
      </c>
      <c r="E225" s="8">
        <v>3365.17</v>
      </c>
      <c r="F225" s="5" t="s">
        <v>10</v>
      </c>
      <c r="G225" s="2" t="s">
        <v>23</v>
      </c>
    </row>
    <row r="226" spans="1:7" x14ac:dyDescent="0.2">
      <c r="A226" s="11">
        <v>199</v>
      </c>
      <c r="B226" s="5" t="s">
        <v>454</v>
      </c>
      <c r="C226" s="11">
        <v>21748984734</v>
      </c>
      <c r="D226" s="5" t="s">
        <v>456</v>
      </c>
      <c r="E226" s="8">
        <v>1988.46</v>
      </c>
      <c r="F226" s="5" t="s">
        <v>10</v>
      </c>
      <c r="G226" s="2" t="s">
        <v>455</v>
      </c>
    </row>
    <row r="227" spans="1:7" x14ac:dyDescent="0.2">
      <c r="A227" s="11">
        <v>200</v>
      </c>
      <c r="B227" s="5" t="s">
        <v>457</v>
      </c>
      <c r="C227" s="11">
        <v>85828625994</v>
      </c>
      <c r="D227" s="5" t="s">
        <v>458</v>
      </c>
      <c r="E227" s="8">
        <v>1878.91</v>
      </c>
      <c r="F227" s="5" t="s">
        <v>10</v>
      </c>
      <c r="G227" s="2" t="s">
        <v>449</v>
      </c>
    </row>
    <row r="228" spans="1:7" x14ac:dyDescent="0.2">
      <c r="A228" s="11">
        <v>201</v>
      </c>
      <c r="B228" s="5" t="s">
        <v>459</v>
      </c>
      <c r="C228" s="11">
        <v>64008199572</v>
      </c>
      <c r="D228" s="5" t="s">
        <v>460</v>
      </c>
      <c r="E228" s="8">
        <v>705.61</v>
      </c>
      <c r="F228" s="5" t="s">
        <v>10</v>
      </c>
      <c r="G228" s="2" t="s">
        <v>23</v>
      </c>
    </row>
    <row r="229" spans="1:7" x14ac:dyDescent="0.2">
      <c r="A229" s="11">
        <v>202</v>
      </c>
      <c r="B229" s="5" t="s">
        <v>461</v>
      </c>
      <c r="C229" s="11">
        <v>83157399243</v>
      </c>
      <c r="D229" s="5" t="s">
        <v>462</v>
      </c>
      <c r="E229" s="8">
        <v>584.12</v>
      </c>
      <c r="F229" s="5" t="s">
        <v>10</v>
      </c>
      <c r="G229" s="2" t="s">
        <v>23</v>
      </c>
    </row>
    <row r="230" spans="1:7" x14ac:dyDescent="0.2">
      <c r="A230" s="11">
        <v>203</v>
      </c>
      <c r="B230" s="5" t="s">
        <v>463</v>
      </c>
      <c r="C230" s="11" t="s">
        <v>464</v>
      </c>
      <c r="D230" s="5" t="s">
        <v>876</v>
      </c>
      <c r="E230" s="8">
        <v>461</v>
      </c>
      <c r="F230" s="5" t="s">
        <v>10</v>
      </c>
      <c r="G230" s="2" t="s">
        <v>23</v>
      </c>
    </row>
    <row r="231" spans="1:7" x14ac:dyDescent="0.2">
      <c r="A231" s="11">
        <v>204</v>
      </c>
      <c r="B231" s="5" t="s">
        <v>465</v>
      </c>
      <c r="C231" s="12" t="s">
        <v>467</v>
      </c>
      <c r="D231" s="5" t="s">
        <v>466</v>
      </c>
      <c r="E231" s="8">
        <v>2370</v>
      </c>
      <c r="F231" s="5" t="s">
        <v>10</v>
      </c>
      <c r="G231" s="2" t="s">
        <v>23</v>
      </c>
    </row>
    <row r="232" spans="1:7" x14ac:dyDescent="0.2">
      <c r="A232" s="11">
        <v>205</v>
      </c>
      <c r="B232" s="5" t="s">
        <v>468</v>
      </c>
      <c r="C232" s="11" t="s">
        <v>470</v>
      </c>
      <c r="D232" s="5" t="s">
        <v>469</v>
      </c>
      <c r="E232" s="8">
        <v>9169</v>
      </c>
      <c r="F232" s="5" t="s">
        <v>10</v>
      </c>
      <c r="G232" s="2" t="s">
        <v>23</v>
      </c>
    </row>
    <row r="233" spans="1:7" x14ac:dyDescent="0.2">
      <c r="A233" s="11">
        <v>206</v>
      </c>
      <c r="B233" s="5" t="s">
        <v>471</v>
      </c>
      <c r="C233" s="11">
        <v>54661026138</v>
      </c>
      <c r="D233" s="5" t="s">
        <v>472</v>
      </c>
      <c r="E233" s="8">
        <v>920.38</v>
      </c>
      <c r="F233" s="5" t="s">
        <v>10</v>
      </c>
      <c r="G233" s="2" t="s">
        <v>23</v>
      </c>
    </row>
    <row r="234" spans="1:7" x14ac:dyDescent="0.2">
      <c r="A234" s="11">
        <v>207</v>
      </c>
      <c r="B234" s="5" t="s">
        <v>473</v>
      </c>
      <c r="C234" s="11">
        <v>92839607312</v>
      </c>
      <c r="D234" s="5" t="s">
        <v>474</v>
      </c>
      <c r="E234" s="8">
        <v>1256.8800000000001</v>
      </c>
      <c r="F234" s="5" t="s">
        <v>10</v>
      </c>
      <c r="G234" s="2" t="s">
        <v>23</v>
      </c>
    </row>
    <row r="235" spans="1:7" x14ac:dyDescent="0.2">
      <c r="A235" s="11">
        <v>208</v>
      </c>
      <c r="B235" s="5" t="s">
        <v>475</v>
      </c>
      <c r="C235" s="12" t="s">
        <v>477</v>
      </c>
      <c r="D235" s="5" t="s">
        <v>476</v>
      </c>
      <c r="E235" s="8">
        <v>262.5</v>
      </c>
      <c r="F235" s="5" t="s">
        <v>10</v>
      </c>
      <c r="G235" s="2" t="s">
        <v>260</v>
      </c>
    </row>
    <row r="236" spans="1:7" x14ac:dyDescent="0.2">
      <c r="A236" s="11">
        <v>209</v>
      </c>
      <c r="B236" s="5" t="s">
        <v>478</v>
      </c>
      <c r="C236" s="11">
        <v>25712329343</v>
      </c>
      <c r="D236" s="5" t="s">
        <v>479</v>
      </c>
      <c r="E236" s="8">
        <v>253.13</v>
      </c>
      <c r="F236" s="5" t="s">
        <v>10</v>
      </c>
      <c r="G236" s="2" t="s">
        <v>23</v>
      </c>
    </row>
    <row r="237" spans="1:7" x14ac:dyDescent="0.2">
      <c r="A237" s="11">
        <v>210</v>
      </c>
      <c r="B237" s="5" t="s">
        <v>480</v>
      </c>
      <c r="C237" s="11">
        <v>69857578031</v>
      </c>
      <c r="D237" s="5" t="s">
        <v>482</v>
      </c>
      <c r="E237" s="8">
        <v>1528.18</v>
      </c>
      <c r="F237" s="5" t="s">
        <v>10</v>
      </c>
      <c r="G237" s="2" t="s">
        <v>481</v>
      </c>
    </row>
    <row r="238" spans="1:7" x14ac:dyDescent="0.2">
      <c r="A238" s="11">
        <v>211</v>
      </c>
      <c r="B238" s="5" t="s">
        <v>483</v>
      </c>
      <c r="C238" s="12" t="s">
        <v>485</v>
      </c>
      <c r="D238" s="5" t="s">
        <v>484</v>
      </c>
      <c r="E238" s="8">
        <v>2440.94</v>
      </c>
      <c r="F238" s="5" t="s">
        <v>10</v>
      </c>
      <c r="G238" s="2" t="s">
        <v>481</v>
      </c>
    </row>
    <row r="239" spans="1:7" x14ac:dyDescent="0.2">
      <c r="A239" s="11">
        <v>212</v>
      </c>
      <c r="B239" s="5" t="s">
        <v>486</v>
      </c>
      <c r="C239" s="11" t="s">
        <v>487</v>
      </c>
      <c r="D239" s="5" t="s">
        <v>488</v>
      </c>
      <c r="E239" s="8">
        <v>454.5</v>
      </c>
      <c r="F239" s="5" t="s">
        <v>10</v>
      </c>
      <c r="G239" s="2" t="s">
        <v>23</v>
      </c>
    </row>
    <row r="240" spans="1:7" x14ac:dyDescent="0.2">
      <c r="A240" s="11">
        <v>213</v>
      </c>
      <c r="B240" s="5" t="s">
        <v>489</v>
      </c>
      <c r="C240" s="11">
        <v>74956515628</v>
      </c>
      <c r="D240" s="5" t="s">
        <v>490</v>
      </c>
      <c r="E240" s="8">
        <v>9250</v>
      </c>
      <c r="F240" s="5" t="s">
        <v>10</v>
      </c>
      <c r="G240" s="2" t="s">
        <v>23</v>
      </c>
    </row>
    <row r="241" spans="1:7" x14ac:dyDescent="0.2">
      <c r="A241" s="11">
        <v>214</v>
      </c>
      <c r="B241" s="5" t="s">
        <v>491</v>
      </c>
      <c r="C241" s="11" t="s">
        <v>492</v>
      </c>
      <c r="D241" s="5" t="s">
        <v>493</v>
      </c>
      <c r="E241" s="8">
        <v>645.36</v>
      </c>
      <c r="F241" s="5" t="s">
        <v>10</v>
      </c>
      <c r="G241" s="2" t="s">
        <v>23</v>
      </c>
    </row>
    <row r="242" spans="1:7" x14ac:dyDescent="0.2">
      <c r="A242" s="11">
        <v>215</v>
      </c>
      <c r="B242" s="5" t="s">
        <v>494</v>
      </c>
      <c r="C242" s="11">
        <v>54482179263</v>
      </c>
      <c r="D242" s="5" t="s">
        <v>495</v>
      </c>
      <c r="E242" s="8">
        <v>13.93</v>
      </c>
      <c r="F242" s="5" t="s">
        <v>10</v>
      </c>
      <c r="G242" s="2" t="s">
        <v>23</v>
      </c>
    </row>
    <row r="243" spans="1:7" x14ac:dyDescent="0.2">
      <c r="A243" s="67">
        <v>216</v>
      </c>
      <c r="B243" s="65" t="s">
        <v>496</v>
      </c>
      <c r="C243" s="67" t="s">
        <v>497</v>
      </c>
      <c r="D243" s="65" t="s">
        <v>498</v>
      </c>
      <c r="E243" s="8">
        <v>56.25</v>
      </c>
      <c r="F243" s="65" t="s">
        <v>10</v>
      </c>
      <c r="G243" s="2" t="s">
        <v>23</v>
      </c>
    </row>
    <row r="244" spans="1:7" x14ac:dyDescent="0.2">
      <c r="A244" s="68"/>
      <c r="B244" s="66"/>
      <c r="C244" s="68"/>
      <c r="D244" s="66"/>
      <c r="E244" s="8">
        <v>3387.5</v>
      </c>
      <c r="F244" s="66"/>
      <c r="G244" s="2" t="s">
        <v>287</v>
      </c>
    </row>
    <row r="245" spans="1:7" x14ac:dyDescent="0.2">
      <c r="A245" s="11">
        <v>217</v>
      </c>
      <c r="B245" s="5" t="s">
        <v>499</v>
      </c>
      <c r="C245" s="11">
        <v>50467974870</v>
      </c>
      <c r="D245" s="5" t="s">
        <v>500</v>
      </c>
      <c r="E245" s="8">
        <v>146.54</v>
      </c>
      <c r="F245" s="5" t="s">
        <v>10</v>
      </c>
      <c r="G245" s="2" t="s">
        <v>23</v>
      </c>
    </row>
    <row r="246" spans="1:7" x14ac:dyDescent="0.2">
      <c r="A246" s="11">
        <v>218</v>
      </c>
      <c r="B246" s="5" t="s">
        <v>501</v>
      </c>
      <c r="C246" s="11">
        <v>79506290597</v>
      </c>
      <c r="D246" s="5" t="s">
        <v>503</v>
      </c>
      <c r="E246" s="8">
        <v>80.14</v>
      </c>
      <c r="F246" s="5" t="s">
        <v>10</v>
      </c>
      <c r="G246" s="2" t="s">
        <v>502</v>
      </c>
    </row>
    <row r="247" spans="1:7" x14ac:dyDescent="0.2">
      <c r="A247" s="11">
        <v>219</v>
      </c>
      <c r="B247" s="5" t="s">
        <v>504</v>
      </c>
      <c r="C247" s="11">
        <v>75297532041</v>
      </c>
      <c r="D247" s="5" t="s">
        <v>506</v>
      </c>
      <c r="E247" s="8">
        <v>1218.48</v>
      </c>
      <c r="F247" s="5" t="s">
        <v>10</v>
      </c>
      <c r="G247" s="2" t="s">
        <v>505</v>
      </c>
    </row>
    <row r="248" spans="1:7" x14ac:dyDescent="0.2">
      <c r="A248" s="11">
        <v>220</v>
      </c>
      <c r="B248" s="5" t="s">
        <v>507</v>
      </c>
      <c r="C248" s="11">
        <v>94505281348</v>
      </c>
      <c r="D248" s="5" t="s">
        <v>509</v>
      </c>
      <c r="E248" s="8">
        <v>157.5</v>
      </c>
      <c r="F248" s="5" t="s">
        <v>10</v>
      </c>
      <c r="G248" s="2" t="s">
        <v>287</v>
      </c>
    </row>
    <row r="249" spans="1:7" x14ac:dyDescent="0.2">
      <c r="A249" s="11">
        <v>221</v>
      </c>
      <c r="B249" s="5" t="s">
        <v>508</v>
      </c>
      <c r="C249" s="11">
        <v>47590958254</v>
      </c>
      <c r="D249" s="5" t="s">
        <v>510</v>
      </c>
      <c r="E249" s="8">
        <v>115</v>
      </c>
      <c r="F249" s="5" t="s">
        <v>10</v>
      </c>
      <c r="G249" s="2" t="s">
        <v>287</v>
      </c>
    </row>
    <row r="250" spans="1:7" x14ac:dyDescent="0.2">
      <c r="A250" s="11">
        <v>222</v>
      </c>
      <c r="B250" s="5" t="s">
        <v>511</v>
      </c>
      <c r="C250" s="11">
        <v>10765766984</v>
      </c>
      <c r="D250" s="5" t="s">
        <v>513</v>
      </c>
      <c r="E250" s="8">
        <v>2970</v>
      </c>
      <c r="F250" s="5" t="s">
        <v>10</v>
      </c>
      <c r="G250" s="2" t="s">
        <v>23</v>
      </c>
    </row>
    <row r="251" spans="1:7" x14ac:dyDescent="0.2">
      <c r="A251" s="11">
        <v>223</v>
      </c>
      <c r="B251" s="5" t="s">
        <v>512</v>
      </c>
      <c r="C251" s="11">
        <v>44284514731</v>
      </c>
      <c r="D251" s="5" t="s">
        <v>514</v>
      </c>
      <c r="E251" s="8">
        <v>1634.88</v>
      </c>
      <c r="F251" s="5" t="s">
        <v>10</v>
      </c>
      <c r="G251" s="2" t="s">
        <v>23</v>
      </c>
    </row>
    <row r="252" spans="1:7" x14ac:dyDescent="0.2">
      <c r="A252" s="11">
        <v>224</v>
      </c>
      <c r="B252" s="5" t="s">
        <v>515</v>
      </c>
      <c r="C252" s="11">
        <v>63914773196</v>
      </c>
      <c r="D252" s="5" t="s">
        <v>516</v>
      </c>
      <c r="E252" s="8">
        <v>965</v>
      </c>
      <c r="F252" s="5" t="s">
        <v>10</v>
      </c>
      <c r="G252" s="2" t="s">
        <v>23</v>
      </c>
    </row>
    <row r="253" spans="1:7" x14ac:dyDescent="0.2">
      <c r="A253" s="11">
        <v>225</v>
      </c>
      <c r="B253" s="5" t="s">
        <v>517</v>
      </c>
      <c r="C253" s="11">
        <v>79378753915</v>
      </c>
      <c r="D253" s="5" t="s">
        <v>518</v>
      </c>
      <c r="E253" s="8">
        <v>769.5</v>
      </c>
      <c r="F253" s="5" t="s">
        <v>10</v>
      </c>
      <c r="G253" s="2" t="s">
        <v>23</v>
      </c>
    </row>
    <row r="254" spans="1:7" x14ac:dyDescent="0.2">
      <c r="A254" s="11">
        <v>226</v>
      </c>
      <c r="B254" s="5" t="s">
        <v>519</v>
      </c>
      <c r="C254" s="11">
        <v>14195921136</v>
      </c>
      <c r="D254" s="5" t="s">
        <v>520</v>
      </c>
      <c r="E254" s="8">
        <v>5228.38</v>
      </c>
      <c r="F254" s="5" t="s">
        <v>10</v>
      </c>
      <c r="G254" s="2" t="s">
        <v>23</v>
      </c>
    </row>
    <row r="255" spans="1:7" x14ac:dyDescent="0.2">
      <c r="A255" s="11">
        <v>227</v>
      </c>
      <c r="B255" s="5" t="s">
        <v>521</v>
      </c>
      <c r="C255" s="11">
        <v>49214559889</v>
      </c>
      <c r="D255" s="5" t="s">
        <v>522</v>
      </c>
      <c r="E255" s="8">
        <v>19125</v>
      </c>
      <c r="F255" s="5" t="s">
        <v>10</v>
      </c>
      <c r="G255" s="2" t="s">
        <v>23</v>
      </c>
    </row>
    <row r="256" spans="1:7" x14ac:dyDescent="0.2">
      <c r="A256" s="11">
        <v>228</v>
      </c>
      <c r="B256" s="5" t="s">
        <v>523</v>
      </c>
      <c r="C256" s="12" t="s">
        <v>525</v>
      </c>
      <c r="D256" s="5" t="s">
        <v>524</v>
      </c>
      <c r="E256" s="8">
        <v>2000</v>
      </c>
      <c r="F256" s="5" t="s">
        <v>10</v>
      </c>
      <c r="G256" s="2" t="s">
        <v>23</v>
      </c>
    </row>
    <row r="257" spans="1:7" x14ac:dyDescent="0.2">
      <c r="A257" s="11">
        <v>229</v>
      </c>
      <c r="B257" s="5" t="s">
        <v>526</v>
      </c>
      <c r="C257" s="11">
        <v>13534526502</v>
      </c>
      <c r="D257" s="5" t="s">
        <v>527</v>
      </c>
      <c r="E257" s="8">
        <f>3292.7+1626.2</f>
        <v>4918.8999999999996</v>
      </c>
      <c r="F257" s="5" t="s">
        <v>10</v>
      </c>
      <c r="G257" s="2" t="s">
        <v>23</v>
      </c>
    </row>
    <row r="258" spans="1:7" x14ac:dyDescent="0.2">
      <c r="A258" s="11">
        <v>230</v>
      </c>
      <c r="B258" s="5" t="s">
        <v>528</v>
      </c>
      <c r="C258" s="11">
        <v>45651572935</v>
      </c>
      <c r="D258" s="5" t="s">
        <v>530</v>
      </c>
      <c r="E258" s="8">
        <v>579.76</v>
      </c>
      <c r="F258" s="5" t="s">
        <v>10</v>
      </c>
      <c r="G258" s="2" t="s">
        <v>529</v>
      </c>
    </row>
    <row r="259" spans="1:7" x14ac:dyDescent="0.2">
      <c r="A259" s="11">
        <v>231</v>
      </c>
      <c r="B259" s="5" t="s">
        <v>531</v>
      </c>
      <c r="C259" s="11">
        <v>70273797250</v>
      </c>
      <c r="D259" s="5" t="s">
        <v>532</v>
      </c>
      <c r="E259" s="8">
        <v>53.95</v>
      </c>
      <c r="F259" s="5" t="s">
        <v>10</v>
      </c>
      <c r="G259" s="2" t="s">
        <v>481</v>
      </c>
    </row>
    <row r="260" spans="1:7" x14ac:dyDescent="0.2">
      <c r="A260" s="11">
        <v>232</v>
      </c>
      <c r="B260" s="5" t="s">
        <v>533</v>
      </c>
      <c r="C260" s="11">
        <v>7882320813</v>
      </c>
      <c r="D260" s="5" t="s">
        <v>534</v>
      </c>
      <c r="E260" s="8">
        <v>1300.8699999999999</v>
      </c>
      <c r="F260" s="5" t="s">
        <v>10</v>
      </c>
      <c r="G260" s="2" t="s">
        <v>367</v>
      </c>
    </row>
    <row r="261" spans="1:7" x14ac:dyDescent="0.2">
      <c r="A261" s="11">
        <v>233</v>
      </c>
      <c r="B261" s="5" t="s">
        <v>535</v>
      </c>
      <c r="C261" s="11">
        <v>58052786981</v>
      </c>
      <c r="D261" s="5" t="s">
        <v>536</v>
      </c>
      <c r="E261" s="8">
        <v>183.75</v>
      </c>
      <c r="F261" s="5" t="s">
        <v>10</v>
      </c>
      <c r="G261" s="2" t="s">
        <v>367</v>
      </c>
    </row>
    <row r="262" spans="1:7" x14ac:dyDescent="0.2">
      <c r="A262" s="11">
        <v>234</v>
      </c>
      <c r="B262" s="5" t="s">
        <v>537</v>
      </c>
      <c r="C262" s="11">
        <v>41180825241</v>
      </c>
      <c r="D262" s="5" t="s">
        <v>538</v>
      </c>
      <c r="E262" s="8">
        <v>251.76</v>
      </c>
      <c r="F262" s="5" t="s">
        <v>10</v>
      </c>
      <c r="G262" s="2" t="s">
        <v>367</v>
      </c>
    </row>
    <row r="263" spans="1:7" x14ac:dyDescent="0.2">
      <c r="A263" s="11">
        <v>235</v>
      </c>
      <c r="B263" s="5" t="s">
        <v>539</v>
      </c>
      <c r="C263" s="11">
        <v>23035642859</v>
      </c>
      <c r="D263" s="5" t="s">
        <v>540</v>
      </c>
      <c r="E263" s="8">
        <v>668.6</v>
      </c>
      <c r="F263" s="5" t="s">
        <v>10</v>
      </c>
      <c r="G263" s="2" t="s">
        <v>367</v>
      </c>
    </row>
    <row r="264" spans="1:7" x14ac:dyDescent="0.2">
      <c r="A264" s="11">
        <v>236</v>
      </c>
      <c r="B264" s="5" t="s">
        <v>541</v>
      </c>
      <c r="C264" s="11">
        <v>32371574171</v>
      </c>
      <c r="D264" s="5" t="s">
        <v>542</v>
      </c>
      <c r="E264" s="8">
        <v>375</v>
      </c>
      <c r="F264" s="5" t="s">
        <v>10</v>
      </c>
      <c r="G264" s="2" t="s">
        <v>243</v>
      </c>
    </row>
    <row r="265" spans="1:7" x14ac:dyDescent="0.2">
      <c r="A265" s="11">
        <v>237</v>
      </c>
      <c r="B265" s="5" t="s">
        <v>543</v>
      </c>
      <c r="C265" s="11">
        <v>36779353407</v>
      </c>
      <c r="D265" s="5" t="s">
        <v>133</v>
      </c>
      <c r="E265" s="8">
        <v>2049.02</v>
      </c>
      <c r="F265" s="5" t="s">
        <v>10</v>
      </c>
      <c r="G265" s="2" t="s">
        <v>292</v>
      </c>
    </row>
    <row r="266" spans="1:7" x14ac:dyDescent="0.2">
      <c r="A266" s="11">
        <v>238</v>
      </c>
      <c r="B266" s="5" t="s">
        <v>544</v>
      </c>
      <c r="C266" s="11">
        <v>34683682958</v>
      </c>
      <c r="D266" s="5" t="s">
        <v>545</v>
      </c>
      <c r="E266" s="8">
        <v>98.56</v>
      </c>
      <c r="F266" s="5" t="s">
        <v>10</v>
      </c>
      <c r="G266" s="2" t="s">
        <v>330</v>
      </c>
    </row>
    <row r="267" spans="1:7" x14ac:dyDescent="0.2">
      <c r="A267" s="11">
        <v>239</v>
      </c>
      <c r="B267" s="5" t="s">
        <v>546</v>
      </c>
      <c r="C267" s="11">
        <v>56717147376</v>
      </c>
      <c r="D267" s="5" t="s">
        <v>547</v>
      </c>
      <c r="E267" s="8">
        <v>1170.1500000000001</v>
      </c>
      <c r="F267" s="5" t="s">
        <v>10</v>
      </c>
      <c r="G267" s="2" t="s">
        <v>23</v>
      </c>
    </row>
    <row r="268" spans="1:7" x14ac:dyDescent="0.2">
      <c r="A268" s="11">
        <v>240</v>
      </c>
      <c r="B268" s="5" t="s">
        <v>548</v>
      </c>
      <c r="C268" s="11">
        <v>26950396239</v>
      </c>
      <c r="D268" s="5" t="s">
        <v>549</v>
      </c>
      <c r="E268" s="8">
        <v>4390</v>
      </c>
      <c r="F268" s="5" t="s">
        <v>10</v>
      </c>
      <c r="G268" s="2" t="s">
        <v>23</v>
      </c>
    </row>
    <row r="269" spans="1:7" x14ac:dyDescent="0.2">
      <c r="A269" s="11">
        <v>241</v>
      </c>
      <c r="B269" s="5" t="s">
        <v>550</v>
      </c>
      <c r="C269" s="11">
        <v>22911773746</v>
      </c>
      <c r="D269" s="5" t="s">
        <v>551</v>
      </c>
      <c r="E269" s="8">
        <v>1503.75</v>
      </c>
      <c r="F269" s="5" t="s">
        <v>10</v>
      </c>
      <c r="G269" s="2" t="s">
        <v>23</v>
      </c>
    </row>
    <row r="270" spans="1:7" x14ac:dyDescent="0.2">
      <c r="A270" s="11">
        <v>242</v>
      </c>
      <c r="B270" s="5" t="s">
        <v>552</v>
      </c>
      <c r="C270" s="12" t="s">
        <v>554</v>
      </c>
      <c r="D270" s="5" t="s">
        <v>553</v>
      </c>
      <c r="E270" s="8">
        <v>658.65</v>
      </c>
      <c r="F270" s="5" t="s">
        <v>10</v>
      </c>
      <c r="G270" s="2" t="s">
        <v>23</v>
      </c>
    </row>
    <row r="271" spans="1:7" x14ac:dyDescent="0.2">
      <c r="A271" s="11">
        <v>243</v>
      </c>
      <c r="B271" s="5" t="s">
        <v>555</v>
      </c>
      <c r="C271" s="11">
        <v>56733014701</v>
      </c>
      <c r="D271" s="5" t="s">
        <v>556</v>
      </c>
      <c r="E271" s="8">
        <v>1630</v>
      </c>
      <c r="F271" s="5" t="s">
        <v>10</v>
      </c>
      <c r="G271" s="2" t="s">
        <v>23</v>
      </c>
    </row>
    <row r="272" spans="1:7" x14ac:dyDescent="0.2">
      <c r="A272" s="11">
        <v>244</v>
      </c>
      <c r="B272" s="5" t="s">
        <v>557</v>
      </c>
      <c r="C272" s="11">
        <v>75725588375</v>
      </c>
      <c r="D272" s="5" t="s">
        <v>558</v>
      </c>
      <c r="E272" s="8">
        <v>2760</v>
      </c>
      <c r="F272" s="5" t="s">
        <v>10</v>
      </c>
      <c r="G272" s="2" t="s">
        <v>23</v>
      </c>
    </row>
    <row r="273" spans="1:7" x14ac:dyDescent="0.2">
      <c r="A273" s="11">
        <v>245</v>
      </c>
      <c r="B273" s="5" t="s">
        <v>559</v>
      </c>
      <c r="C273" s="11">
        <v>80523849112</v>
      </c>
      <c r="D273" s="5" t="s">
        <v>560</v>
      </c>
      <c r="E273" s="8">
        <v>194.2</v>
      </c>
      <c r="F273" s="5" t="s">
        <v>10</v>
      </c>
      <c r="G273" s="2" t="s">
        <v>23</v>
      </c>
    </row>
    <row r="274" spans="1:7" x14ac:dyDescent="0.2">
      <c r="A274" s="11">
        <v>246</v>
      </c>
      <c r="B274" s="5" t="s">
        <v>561</v>
      </c>
      <c r="C274" s="11">
        <v>69638067216</v>
      </c>
      <c r="D274" s="5" t="s">
        <v>562</v>
      </c>
      <c r="E274" s="8">
        <f>870+37.31</f>
        <v>907.31</v>
      </c>
      <c r="F274" s="5" t="s">
        <v>10</v>
      </c>
      <c r="G274" s="2" t="s">
        <v>23</v>
      </c>
    </row>
    <row r="275" spans="1:7" x14ac:dyDescent="0.2">
      <c r="A275" s="11">
        <v>247</v>
      </c>
      <c r="B275" s="5" t="s">
        <v>563</v>
      </c>
      <c r="C275" s="11">
        <v>98179708078</v>
      </c>
      <c r="D275" s="5" t="s">
        <v>564</v>
      </c>
      <c r="E275" s="8">
        <v>212.38</v>
      </c>
      <c r="F275" s="5" t="s">
        <v>10</v>
      </c>
      <c r="G275" s="2" t="s">
        <v>23</v>
      </c>
    </row>
    <row r="276" spans="1:7" x14ac:dyDescent="0.2">
      <c r="A276" s="11">
        <v>248</v>
      </c>
      <c r="B276" s="5" t="s">
        <v>565</v>
      </c>
      <c r="C276" s="12" t="s">
        <v>567</v>
      </c>
      <c r="D276" s="5" t="s">
        <v>566</v>
      </c>
      <c r="E276" s="8">
        <v>68.63</v>
      </c>
      <c r="F276" s="5" t="s">
        <v>10</v>
      </c>
      <c r="G276" s="2" t="s">
        <v>23</v>
      </c>
    </row>
    <row r="277" spans="1:7" x14ac:dyDescent="0.2">
      <c r="A277" s="11">
        <v>249</v>
      </c>
      <c r="B277" s="5" t="s">
        <v>568</v>
      </c>
      <c r="C277" s="11">
        <v>66865844122</v>
      </c>
      <c r="D277" s="5" t="s">
        <v>569</v>
      </c>
      <c r="E277" s="8">
        <v>1069.21</v>
      </c>
      <c r="F277" s="5" t="s">
        <v>10</v>
      </c>
      <c r="G277" s="2" t="s">
        <v>23</v>
      </c>
    </row>
    <row r="278" spans="1:7" x14ac:dyDescent="0.2">
      <c r="A278" s="11">
        <v>250</v>
      </c>
      <c r="B278" s="5" t="s">
        <v>571</v>
      </c>
      <c r="C278" s="11">
        <v>75202805533</v>
      </c>
      <c r="D278" s="5" t="s">
        <v>588</v>
      </c>
      <c r="E278" s="8">
        <v>21.53</v>
      </c>
      <c r="F278" s="5" t="s">
        <v>10</v>
      </c>
      <c r="G278" s="2" t="s">
        <v>23</v>
      </c>
    </row>
    <row r="279" spans="1:7" x14ac:dyDescent="0.2">
      <c r="A279" s="11">
        <v>251</v>
      </c>
      <c r="B279" s="5" t="s">
        <v>572</v>
      </c>
      <c r="C279" s="11">
        <v>83581046582</v>
      </c>
      <c r="D279" s="5" t="s">
        <v>589</v>
      </c>
      <c r="E279" s="8">
        <v>227.13</v>
      </c>
      <c r="F279" s="5" t="s">
        <v>10</v>
      </c>
      <c r="G279" s="2" t="s">
        <v>23</v>
      </c>
    </row>
    <row r="280" spans="1:7" x14ac:dyDescent="0.2">
      <c r="A280" s="11">
        <v>252</v>
      </c>
      <c r="B280" s="5" t="s">
        <v>590</v>
      </c>
      <c r="C280" s="11">
        <v>38867318377</v>
      </c>
      <c r="D280" s="5" t="s">
        <v>591</v>
      </c>
      <c r="E280" s="8">
        <v>325</v>
      </c>
      <c r="F280" s="5" t="s">
        <v>10</v>
      </c>
      <c r="G280" s="2" t="s">
        <v>23</v>
      </c>
    </row>
    <row r="281" spans="1:7" x14ac:dyDescent="0.2">
      <c r="A281" s="11">
        <v>253</v>
      </c>
      <c r="B281" s="5" t="s">
        <v>593</v>
      </c>
      <c r="C281" s="11">
        <v>41261796409</v>
      </c>
      <c r="D281" s="5" t="s">
        <v>592</v>
      </c>
      <c r="E281" s="8">
        <v>1230</v>
      </c>
      <c r="F281" s="5" t="s">
        <v>10</v>
      </c>
      <c r="G281" s="2" t="s">
        <v>23</v>
      </c>
    </row>
    <row r="282" spans="1:7" x14ac:dyDescent="0.2">
      <c r="A282" s="11">
        <v>254</v>
      </c>
      <c r="B282" s="5" t="s">
        <v>573</v>
      </c>
      <c r="C282" s="11">
        <v>56862872842</v>
      </c>
      <c r="D282" s="5" t="s">
        <v>594</v>
      </c>
      <c r="E282" s="8">
        <v>288</v>
      </c>
      <c r="F282" s="5" t="s">
        <v>10</v>
      </c>
      <c r="G282" s="2" t="s">
        <v>23</v>
      </c>
    </row>
    <row r="283" spans="1:7" x14ac:dyDescent="0.2">
      <c r="A283" s="11">
        <v>255</v>
      </c>
      <c r="B283" s="5" t="s">
        <v>576</v>
      </c>
      <c r="C283" s="11">
        <v>77802735473</v>
      </c>
      <c r="D283" s="5" t="s">
        <v>595</v>
      </c>
      <c r="E283" s="8">
        <v>161.26</v>
      </c>
      <c r="F283" s="5" t="s">
        <v>10</v>
      </c>
      <c r="G283" s="2" t="s">
        <v>23</v>
      </c>
    </row>
    <row r="284" spans="1:7" x14ac:dyDescent="0.2">
      <c r="A284" s="11">
        <v>256</v>
      </c>
      <c r="B284" s="5" t="s">
        <v>575</v>
      </c>
      <c r="C284" s="11">
        <v>67337315718</v>
      </c>
      <c r="D284" s="5" t="s">
        <v>597</v>
      </c>
      <c r="E284" s="8">
        <v>358.5</v>
      </c>
      <c r="F284" s="5" t="s">
        <v>10</v>
      </c>
      <c r="G284" s="2" t="s">
        <v>23</v>
      </c>
    </row>
    <row r="285" spans="1:7" x14ac:dyDescent="0.2">
      <c r="A285" s="11">
        <v>257</v>
      </c>
      <c r="B285" s="5" t="s">
        <v>577</v>
      </c>
      <c r="C285" s="11">
        <v>57269622478</v>
      </c>
      <c r="D285" s="5" t="s">
        <v>596</v>
      </c>
      <c r="E285" s="8">
        <v>284.39</v>
      </c>
      <c r="F285" s="5" t="s">
        <v>10</v>
      </c>
      <c r="G285" s="2" t="s">
        <v>23</v>
      </c>
    </row>
    <row r="286" spans="1:7" x14ac:dyDescent="0.2">
      <c r="A286" s="11">
        <v>258</v>
      </c>
      <c r="B286" s="5" t="s">
        <v>574</v>
      </c>
      <c r="C286" s="11">
        <v>38453826849</v>
      </c>
      <c r="D286" s="5" t="s">
        <v>598</v>
      </c>
      <c r="E286" s="8">
        <v>70.5</v>
      </c>
      <c r="F286" s="5" t="s">
        <v>10</v>
      </c>
      <c r="G286" s="2" t="s">
        <v>23</v>
      </c>
    </row>
    <row r="287" spans="1:7" x14ac:dyDescent="0.2">
      <c r="A287" s="11">
        <v>259</v>
      </c>
      <c r="B287" s="5" t="s">
        <v>570</v>
      </c>
      <c r="C287" s="11" t="s">
        <v>600</v>
      </c>
      <c r="D287" s="5" t="s">
        <v>599</v>
      </c>
      <c r="E287" s="8">
        <v>291.51</v>
      </c>
      <c r="F287" s="5" t="s">
        <v>10</v>
      </c>
      <c r="G287" s="2" t="s">
        <v>23</v>
      </c>
    </row>
    <row r="288" spans="1:7" x14ac:dyDescent="0.2">
      <c r="A288" s="11">
        <v>260</v>
      </c>
      <c r="B288" s="5" t="s">
        <v>578</v>
      </c>
      <c r="C288" s="11">
        <v>64691033428</v>
      </c>
      <c r="D288" s="5" t="s">
        <v>601</v>
      </c>
      <c r="E288" s="8">
        <v>1548</v>
      </c>
      <c r="F288" s="5" t="s">
        <v>10</v>
      </c>
      <c r="G288" s="2" t="s">
        <v>23</v>
      </c>
    </row>
    <row r="289" spans="1:7" x14ac:dyDescent="0.2">
      <c r="A289" s="11">
        <v>261</v>
      </c>
      <c r="B289" s="5" t="s">
        <v>579</v>
      </c>
      <c r="C289" s="11">
        <v>54527841697</v>
      </c>
      <c r="D289" s="5" t="s">
        <v>602</v>
      </c>
      <c r="E289" s="8">
        <v>240.56</v>
      </c>
      <c r="F289" s="5" t="s">
        <v>10</v>
      </c>
      <c r="G289" s="2" t="s">
        <v>23</v>
      </c>
    </row>
    <row r="290" spans="1:7" x14ac:dyDescent="0.2">
      <c r="A290" s="11">
        <v>262</v>
      </c>
      <c r="B290" s="5" t="s">
        <v>580</v>
      </c>
      <c r="C290" s="11">
        <v>88745489373</v>
      </c>
      <c r="D290" s="5" t="s">
        <v>603</v>
      </c>
      <c r="E290" s="8">
        <v>240.5</v>
      </c>
      <c r="F290" s="5" t="s">
        <v>10</v>
      </c>
      <c r="G290" s="2" t="s">
        <v>23</v>
      </c>
    </row>
    <row r="291" spans="1:7" x14ac:dyDescent="0.2">
      <c r="A291" s="11">
        <v>263</v>
      </c>
      <c r="B291" s="5" t="s">
        <v>259</v>
      </c>
      <c r="C291" s="11">
        <v>46289034988</v>
      </c>
      <c r="D291" s="5" t="s">
        <v>261</v>
      </c>
      <c r="E291" s="8">
        <v>171.89</v>
      </c>
      <c r="F291" s="5" t="s">
        <v>10</v>
      </c>
      <c r="G291" s="2" t="s">
        <v>23</v>
      </c>
    </row>
    <row r="292" spans="1:7" x14ac:dyDescent="0.2">
      <c r="A292" s="11">
        <v>264</v>
      </c>
      <c r="B292" s="5" t="s">
        <v>581</v>
      </c>
      <c r="C292" s="11">
        <v>75332433655</v>
      </c>
      <c r="D292" s="5" t="s">
        <v>604</v>
      </c>
      <c r="E292" s="8">
        <v>168.75</v>
      </c>
      <c r="F292" s="5" t="s">
        <v>10</v>
      </c>
      <c r="G292" s="2" t="s">
        <v>23</v>
      </c>
    </row>
    <row r="293" spans="1:7" x14ac:dyDescent="0.2">
      <c r="A293" s="11">
        <v>265</v>
      </c>
      <c r="B293" s="5" t="s">
        <v>582</v>
      </c>
      <c r="C293" s="12" t="s">
        <v>606</v>
      </c>
      <c r="D293" s="5" t="s">
        <v>605</v>
      </c>
      <c r="E293" s="8">
        <v>163.4</v>
      </c>
      <c r="F293" s="5" t="s">
        <v>10</v>
      </c>
      <c r="G293" s="2" t="s">
        <v>23</v>
      </c>
    </row>
    <row r="294" spans="1:7" x14ac:dyDescent="0.2">
      <c r="A294" s="11">
        <v>266</v>
      </c>
      <c r="B294" s="5" t="s">
        <v>583</v>
      </c>
      <c r="C294" s="11">
        <v>22248533094</v>
      </c>
      <c r="D294" s="5" t="s">
        <v>607</v>
      </c>
      <c r="E294" s="8">
        <v>144.69999999999999</v>
      </c>
      <c r="F294" s="5" t="s">
        <v>10</v>
      </c>
      <c r="G294" s="2" t="s">
        <v>23</v>
      </c>
    </row>
    <row r="295" spans="1:7" x14ac:dyDescent="0.2">
      <c r="A295" s="11">
        <v>267</v>
      </c>
      <c r="B295" s="5" t="s">
        <v>584</v>
      </c>
      <c r="C295" s="11">
        <v>33496432020</v>
      </c>
      <c r="D295" s="5" t="s">
        <v>608</v>
      </c>
      <c r="E295" s="8">
        <v>93.75</v>
      </c>
      <c r="F295" s="5" t="s">
        <v>10</v>
      </c>
      <c r="G295" s="2" t="s">
        <v>23</v>
      </c>
    </row>
    <row r="296" spans="1:7" x14ac:dyDescent="0.2">
      <c r="A296" s="11">
        <v>268</v>
      </c>
      <c r="B296" s="5" t="s">
        <v>585</v>
      </c>
      <c r="C296" s="11">
        <v>25706416813</v>
      </c>
      <c r="D296" s="5" t="s">
        <v>609</v>
      </c>
      <c r="E296" s="8">
        <v>854.85</v>
      </c>
      <c r="F296" s="5" t="s">
        <v>10</v>
      </c>
      <c r="G296" s="2" t="s">
        <v>23</v>
      </c>
    </row>
    <row r="297" spans="1:7" x14ac:dyDescent="0.2">
      <c r="A297" s="11">
        <v>269</v>
      </c>
      <c r="B297" s="5" t="s">
        <v>586</v>
      </c>
      <c r="C297" s="11">
        <v>100299833</v>
      </c>
      <c r="D297" s="5" t="s">
        <v>610</v>
      </c>
      <c r="E297" s="8">
        <v>1990</v>
      </c>
      <c r="F297" s="5" t="s">
        <v>10</v>
      </c>
      <c r="G297" s="2" t="s">
        <v>23</v>
      </c>
    </row>
    <row r="298" spans="1:7" x14ac:dyDescent="0.2">
      <c r="A298" s="11">
        <v>270</v>
      </c>
      <c r="B298" s="5" t="s">
        <v>587</v>
      </c>
      <c r="C298" s="11" t="s">
        <v>612</v>
      </c>
      <c r="D298" s="5" t="s">
        <v>611</v>
      </c>
      <c r="E298" s="8">
        <v>1051.8900000000001</v>
      </c>
      <c r="F298" s="5" t="s">
        <v>10</v>
      </c>
      <c r="G298" s="2" t="s">
        <v>23</v>
      </c>
    </row>
    <row r="299" spans="1:7" ht="5.25" customHeight="1" x14ac:dyDescent="0.2">
      <c r="A299" s="11"/>
      <c r="B299" s="5"/>
      <c r="C299" s="11"/>
      <c r="D299" s="5"/>
      <c r="E299" s="8"/>
      <c r="F299" s="5"/>
      <c r="G299" s="2"/>
    </row>
    <row r="301" spans="1:7" x14ac:dyDescent="0.2">
      <c r="D301" s="51" t="s">
        <v>1228</v>
      </c>
      <c r="E301" s="52">
        <f>SUM(E11:E299)</f>
        <v>2812902.5799999982</v>
      </c>
    </row>
  </sheetData>
  <sheetProtection algorithmName="SHA-512" hashValue="+HcVNtCvHPLqsdyTJWPUBtOxvYDPfHQ+LS7iQDG3DaFmzVCk2YHpXDzYbrRgRml2mSZoUb1I8ip9vv+sh8vmGA==" saltValue="M24JP1kpMFv8yPenuQ/NWw==" spinCount="100000" sheet="1" objects="1" scenarios="1" selectLockedCells="1" autoFilter="0" selectUnlockedCells="1"/>
  <autoFilter ref="A10:G298" xr:uid="{1950F4FB-0261-43D0-828A-F0FFB9B4258F}"/>
  <mergeCells count="72">
    <mergeCell ref="F114:F115"/>
    <mergeCell ref="A122:A123"/>
    <mergeCell ref="F122:F123"/>
    <mergeCell ref="A243:A244"/>
    <mergeCell ref="A39:A40"/>
    <mergeCell ref="A41:A43"/>
    <mergeCell ref="A56:A57"/>
    <mergeCell ref="A59:A60"/>
    <mergeCell ref="A99:A100"/>
    <mergeCell ref="A114:A115"/>
    <mergeCell ref="A179:A180"/>
    <mergeCell ref="A146:A147"/>
    <mergeCell ref="B122:B123"/>
    <mergeCell ref="C122:C123"/>
    <mergeCell ref="D122:D123"/>
    <mergeCell ref="B114:B115"/>
    <mergeCell ref="C114:C115"/>
    <mergeCell ref="D114:D115"/>
    <mergeCell ref="B68:B69"/>
    <mergeCell ref="A66:A67"/>
    <mergeCell ref="A68:A69"/>
    <mergeCell ref="D68:D69"/>
    <mergeCell ref="C68:C69"/>
    <mergeCell ref="A6:B6"/>
    <mergeCell ref="A7:B7"/>
    <mergeCell ref="C8:F8"/>
    <mergeCell ref="B29:B31"/>
    <mergeCell ref="C29:C31"/>
    <mergeCell ref="D29:D31"/>
    <mergeCell ref="F29:F31"/>
    <mergeCell ref="A29:A31"/>
    <mergeCell ref="B34:B37"/>
    <mergeCell ref="A34:A37"/>
    <mergeCell ref="C34:C37"/>
    <mergeCell ref="D34:D37"/>
    <mergeCell ref="F34:F37"/>
    <mergeCell ref="B39:B40"/>
    <mergeCell ref="C39:C40"/>
    <mergeCell ref="F39:F40"/>
    <mergeCell ref="D39:D40"/>
    <mergeCell ref="B41:B43"/>
    <mergeCell ref="C41:C43"/>
    <mergeCell ref="D41:D43"/>
    <mergeCell ref="F41:F43"/>
    <mergeCell ref="B56:B57"/>
    <mergeCell ref="C56:C57"/>
    <mergeCell ref="D56:D57"/>
    <mergeCell ref="F56:F57"/>
    <mergeCell ref="B99:B100"/>
    <mergeCell ref="F99:F100"/>
    <mergeCell ref="D99:D100"/>
    <mergeCell ref="C99:C100"/>
    <mergeCell ref="B66:B67"/>
    <mergeCell ref="C66:C67"/>
    <mergeCell ref="D66:D67"/>
    <mergeCell ref="F66:F67"/>
    <mergeCell ref="B59:B60"/>
    <mergeCell ref="C59:C60"/>
    <mergeCell ref="D59:D60"/>
    <mergeCell ref="F59:F60"/>
    <mergeCell ref="F243:F244"/>
    <mergeCell ref="D243:D244"/>
    <mergeCell ref="C243:C244"/>
    <mergeCell ref="B243:B244"/>
    <mergeCell ref="F146:F147"/>
    <mergeCell ref="B146:B147"/>
    <mergeCell ref="B179:B180"/>
    <mergeCell ref="C179:C180"/>
    <mergeCell ref="D179:D180"/>
    <mergeCell ref="F179:F180"/>
    <mergeCell ref="C146:C147"/>
    <mergeCell ref="D146:D147"/>
  </mergeCells>
  <pageMargins left="0.7" right="0.7" top="0.75" bottom="0.75" header="0.3" footer="0.3"/>
  <pageSetup paperSize="9" orientation="portrait" verticalDpi="0" r:id="rId1"/>
  <ignoredErrors>
    <ignoredError sqref="C15 C23 C27 C32 C47 C58 C72 C76 C108 C125 C135 C154 C163 C173 C231 C235 C238 C256 C270 C276 C293 C130 C18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2FF09-A510-4802-9787-EA4F5213154D}">
  <dimension ref="A5:J315"/>
  <sheetViews>
    <sheetView workbookViewId="0">
      <selection activeCell="A10" sqref="A10:G10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74" t="s">
        <v>7</v>
      </c>
      <c r="B6" s="74"/>
    </row>
    <row r="7" spans="1:7" x14ac:dyDescent="0.2">
      <c r="A7" s="74" t="s">
        <v>8</v>
      </c>
      <c r="B7" s="74"/>
    </row>
    <row r="8" spans="1:7" x14ac:dyDescent="0.2">
      <c r="A8" s="25"/>
      <c r="B8" s="6"/>
      <c r="C8" s="75" t="s">
        <v>1564</v>
      </c>
      <c r="D8" s="75"/>
      <c r="E8" s="75"/>
      <c r="F8" s="75"/>
    </row>
    <row r="10" spans="1:7" x14ac:dyDescent="0.2">
      <c r="A10" s="3" t="s">
        <v>1</v>
      </c>
      <c r="B10" s="4" t="s">
        <v>0</v>
      </c>
      <c r="C10" s="3" t="s">
        <v>42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11</v>
      </c>
      <c r="C11" s="11">
        <v>23780250353</v>
      </c>
      <c r="D11" s="5" t="s">
        <v>27</v>
      </c>
      <c r="E11" s="8">
        <v>2520.39</v>
      </c>
      <c r="F11" s="5" t="s">
        <v>10</v>
      </c>
      <c r="G11" s="2" t="s">
        <v>12</v>
      </c>
    </row>
    <row r="12" spans="1:7" x14ac:dyDescent="0.2">
      <c r="A12" s="11">
        <v>2</v>
      </c>
      <c r="B12" s="5" t="s">
        <v>1163</v>
      </c>
      <c r="C12" s="11">
        <v>11085290021</v>
      </c>
      <c r="D12" s="5" t="s">
        <v>1162</v>
      </c>
      <c r="E12" s="8">
        <v>1076</v>
      </c>
      <c r="F12" s="5" t="s">
        <v>10</v>
      </c>
      <c r="G12" s="2" t="s">
        <v>130</v>
      </c>
    </row>
    <row r="13" spans="1:7" x14ac:dyDescent="0.2">
      <c r="A13" s="11">
        <v>3</v>
      </c>
      <c r="B13" s="5" t="s">
        <v>14</v>
      </c>
      <c r="C13" s="11">
        <v>87939104217</v>
      </c>
      <c r="D13" s="5" t="s">
        <v>15</v>
      </c>
      <c r="E13" s="8">
        <v>48.32</v>
      </c>
      <c r="F13" s="5" t="s">
        <v>10</v>
      </c>
      <c r="G13" s="2" t="s">
        <v>16</v>
      </c>
    </row>
    <row r="14" spans="1:7" x14ac:dyDescent="0.2">
      <c r="A14" s="11">
        <v>4</v>
      </c>
      <c r="B14" s="5" t="s">
        <v>1107</v>
      </c>
      <c r="C14" s="11">
        <v>33890755814</v>
      </c>
      <c r="D14" s="5" t="s">
        <v>1108</v>
      </c>
      <c r="E14" s="8">
        <v>137.5</v>
      </c>
      <c r="F14" s="5" t="s">
        <v>10</v>
      </c>
      <c r="G14" s="2" t="s">
        <v>23</v>
      </c>
    </row>
    <row r="15" spans="1:7" x14ac:dyDescent="0.2">
      <c r="A15" s="11">
        <v>5</v>
      </c>
      <c r="B15" s="5" t="s">
        <v>748</v>
      </c>
      <c r="C15" s="11">
        <v>42826255368</v>
      </c>
      <c r="D15" s="5" t="s">
        <v>749</v>
      </c>
      <c r="E15" s="8">
        <v>1746</v>
      </c>
      <c r="F15" s="5" t="s">
        <v>10</v>
      </c>
      <c r="G15" s="2" t="s">
        <v>23</v>
      </c>
    </row>
    <row r="16" spans="1:7" ht="14.25" customHeight="1" x14ac:dyDescent="0.2">
      <c r="A16" s="11">
        <v>6</v>
      </c>
      <c r="B16" s="5" t="s">
        <v>19</v>
      </c>
      <c r="C16" s="12" t="s">
        <v>30</v>
      </c>
      <c r="D16" s="9" t="s">
        <v>31</v>
      </c>
      <c r="E16" s="8">
        <v>5407.05</v>
      </c>
      <c r="F16" s="5" t="s">
        <v>10</v>
      </c>
      <c r="G16" s="2" t="s">
        <v>20</v>
      </c>
    </row>
    <row r="17" spans="1:8" x14ac:dyDescent="0.2">
      <c r="A17" s="11">
        <v>7</v>
      </c>
      <c r="B17" s="5" t="s">
        <v>22</v>
      </c>
      <c r="C17" s="11">
        <v>85167032587</v>
      </c>
      <c r="D17" s="5" t="s">
        <v>29</v>
      </c>
      <c r="E17" s="8">
        <v>527.30999999999995</v>
      </c>
      <c r="F17" s="5" t="s">
        <v>10</v>
      </c>
      <c r="G17" s="2" t="s">
        <v>21</v>
      </c>
    </row>
    <row r="18" spans="1:8" x14ac:dyDescent="0.2">
      <c r="A18" s="11">
        <v>8</v>
      </c>
      <c r="B18" s="5" t="s">
        <v>180</v>
      </c>
      <c r="C18" s="11">
        <v>87311810356</v>
      </c>
      <c r="D18" s="5" t="s">
        <v>229</v>
      </c>
      <c r="E18" s="8">
        <v>354.75</v>
      </c>
      <c r="F18" s="5" t="s">
        <v>10</v>
      </c>
      <c r="G18" s="2" t="s">
        <v>179</v>
      </c>
    </row>
    <row r="19" spans="1:8" x14ac:dyDescent="0.2">
      <c r="A19" s="11">
        <v>9</v>
      </c>
      <c r="B19" s="5" t="s">
        <v>688</v>
      </c>
      <c r="C19" s="11">
        <v>44040649076</v>
      </c>
      <c r="D19" s="5" t="s">
        <v>689</v>
      </c>
      <c r="E19" s="8">
        <f>15000+5000+10000</f>
        <v>30000</v>
      </c>
      <c r="F19" s="5" t="s">
        <v>10</v>
      </c>
      <c r="G19" s="2" t="s">
        <v>23</v>
      </c>
    </row>
    <row r="20" spans="1:8" x14ac:dyDescent="0.2">
      <c r="A20" s="11">
        <v>10</v>
      </c>
      <c r="B20" s="5" t="s">
        <v>329</v>
      </c>
      <c r="C20" s="11">
        <v>84523433179</v>
      </c>
      <c r="D20" s="5" t="s">
        <v>331</v>
      </c>
      <c r="E20" s="8">
        <f>317.98+55</f>
        <v>372.98</v>
      </c>
      <c r="F20" s="5" t="s">
        <v>10</v>
      </c>
      <c r="G20" s="2" t="s">
        <v>330</v>
      </c>
    </row>
    <row r="21" spans="1:8" x14ac:dyDescent="0.2">
      <c r="A21" s="11">
        <v>11</v>
      </c>
      <c r="B21" s="5" t="s">
        <v>17</v>
      </c>
      <c r="C21" s="11" t="s">
        <v>17</v>
      </c>
      <c r="D21" s="5" t="s">
        <v>17</v>
      </c>
      <c r="E21" s="8">
        <v>1108106.95</v>
      </c>
      <c r="F21" s="5" t="s">
        <v>10</v>
      </c>
      <c r="G21" s="2" t="s">
        <v>34</v>
      </c>
    </row>
    <row r="22" spans="1:8" ht="15" customHeight="1" x14ac:dyDescent="0.2">
      <c r="A22" s="11">
        <v>12</v>
      </c>
      <c r="B22" s="5" t="s">
        <v>685</v>
      </c>
      <c r="C22" s="11">
        <v>78424785565</v>
      </c>
      <c r="D22" s="5" t="s">
        <v>686</v>
      </c>
      <c r="E22" s="8">
        <f>2228.6+3668.75</f>
        <v>5897.35</v>
      </c>
      <c r="F22" s="5" t="s">
        <v>10</v>
      </c>
      <c r="G22" s="2" t="s">
        <v>23</v>
      </c>
    </row>
    <row r="23" spans="1:8" x14ac:dyDescent="0.2">
      <c r="A23" s="11">
        <v>13</v>
      </c>
      <c r="B23" s="5" t="s">
        <v>478</v>
      </c>
      <c r="C23" s="11">
        <v>25712329343</v>
      </c>
      <c r="D23" s="5" t="s">
        <v>479</v>
      </c>
      <c r="E23" s="8">
        <v>143.13</v>
      </c>
      <c r="F23" s="5" t="s">
        <v>10</v>
      </c>
      <c r="G23" s="2" t="s">
        <v>23</v>
      </c>
    </row>
    <row r="24" spans="1:8" x14ac:dyDescent="0.2">
      <c r="A24" s="11">
        <v>14</v>
      </c>
      <c r="B24" s="5" t="s">
        <v>39</v>
      </c>
      <c r="C24" s="12" t="s">
        <v>44</v>
      </c>
      <c r="D24" s="5" t="s">
        <v>43</v>
      </c>
      <c r="E24" s="8">
        <f>12+11.92+1211.52</f>
        <v>1235.44</v>
      </c>
      <c r="F24" s="5" t="s">
        <v>10</v>
      </c>
      <c r="G24" s="2" t="s">
        <v>16</v>
      </c>
    </row>
    <row r="25" spans="1:8" x14ac:dyDescent="0.2">
      <c r="A25" s="11">
        <v>15</v>
      </c>
      <c r="B25" s="5" t="s">
        <v>45</v>
      </c>
      <c r="C25" s="11">
        <v>57500462912</v>
      </c>
      <c r="D25" s="5" t="s">
        <v>47</v>
      </c>
      <c r="E25" s="8">
        <v>2500</v>
      </c>
      <c r="F25" s="5" t="s">
        <v>10</v>
      </c>
      <c r="G25" s="2" t="s">
        <v>46</v>
      </c>
    </row>
    <row r="26" spans="1:8" x14ac:dyDescent="0.2">
      <c r="A26" s="11">
        <v>16</v>
      </c>
      <c r="B26" s="5" t="s">
        <v>102</v>
      </c>
      <c r="C26" s="11">
        <v>981494061</v>
      </c>
      <c r="D26" s="5" t="s">
        <v>103</v>
      </c>
      <c r="E26" s="8">
        <f>836.34+836.34</f>
        <v>1672.68</v>
      </c>
      <c r="F26" s="5" t="s">
        <v>10</v>
      </c>
      <c r="G26" s="2" t="s">
        <v>62</v>
      </c>
    </row>
    <row r="27" spans="1:8" x14ac:dyDescent="0.2">
      <c r="A27" s="11">
        <v>17</v>
      </c>
      <c r="B27" s="19" t="s">
        <v>297</v>
      </c>
      <c r="C27" s="36">
        <v>72836081238</v>
      </c>
      <c r="D27" s="19" t="s">
        <v>298</v>
      </c>
      <c r="E27" s="15">
        <f>24725+10000+5975</f>
        <v>40700</v>
      </c>
      <c r="F27" s="19" t="s">
        <v>10</v>
      </c>
      <c r="G27" s="28" t="s">
        <v>23</v>
      </c>
    </row>
    <row r="28" spans="1:8" x14ac:dyDescent="0.2">
      <c r="A28" s="11">
        <v>18</v>
      </c>
      <c r="B28" s="5" t="s">
        <v>345</v>
      </c>
      <c r="C28" s="11">
        <v>47530485643</v>
      </c>
      <c r="D28" s="5" t="s">
        <v>346</v>
      </c>
      <c r="E28" s="8">
        <v>3405</v>
      </c>
      <c r="F28" s="44" t="s">
        <v>10</v>
      </c>
      <c r="G28" s="2" t="s">
        <v>23</v>
      </c>
    </row>
    <row r="29" spans="1:8" ht="12.75" thickBot="1" x14ac:dyDescent="0.25">
      <c r="A29" s="11">
        <v>19</v>
      </c>
      <c r="B29" s="19" t="s">
        <v>290</v>
      </c>
      <c r="C29" s="36">
        <v>40779258479</v>
      </c>
      <c r="D29" s="19" t="s">
        <v>291</v>
      </c>
      <c r="E29" s="15">
        <v>30000</v>
      </c>
      <c r="F29" s="19" t="s">
        <v>10</v>
      </c>
      <c r="G29" s="28" t="s">
        <v>23</v>
      </c>
      <c r="H29" s="13"/>
    </row>
    <row r="30" spans="1:8" x14ac:dyDescent="0.2">
      <c r="A30" s="88">
        <v>20</v>
      </c>
      <c r="B30" s="90" t="s">
        <v>613</v>
      </c>
      <c r="C30" s="88">
        <v>66253945791</v>
      </c>
      <c r="D30" s="90" t="s">
        <v>67</v>
      </c>
      <c r="E30" s="16">
        <f>176805.45+4364.5</f>
        <v>181169.95</v>
      </c>
      <c r="F30" s="92" t="s">
        <v>10</v>
      </c>
      <c r="G30" s="31" t="s">
        <v>58</v>
      </c>
    </row>
    <row r="31" spans="1:8" ht="12.75" thickBot="1" x14ac:dyDescent="0.25">
      <c r="A31" s="89"/>
      <c r="B31" s="91"/>
      <c r="C31" s="89"/>
      <c r="D31" s="91"/>
      <c r="E31" s="18">
        <f>47640.07+17414.19</f>
        <v>65054.259999999995</v>
      </c>
      <c r="F31" s="93"/>
      <c r="G31" s="32" t="s">
        <v>23</v>
      </c>
    </row>
    <row r="32" spans="1:8" x14ac:dyDescent="0.2">
      <c r="A32" s="37">
        <v>21</v>
      </c>
      <c r="B32" s="5" t="s">
        <v>746</v>
      </c>
      <c r="C32" s="11">
        <v>97446189704</v>
      </c>
      <c r="D32" s="5" t="s">
        <v>747</v>
      </c>
      <c r="E32" s="8">
        <f>308</f>
        <v>308</v>
      </c>
      <c r="F32" s="5" t="s">
        <v>10</v>
      </c>
      <c r="G32" s="2" t="s">
        <v>243</v>
      </c>
    </row>
    <row r="33" spans="1:7" x14ac:dyDescent="0.2">
      <c r="A33" s="11">
        <v>22</v>
      </c>
      <c r="B33" s="19" t="s">
        <v>59</v>
      </c>
      <c r="C33" s="36">
        <v>63073332379</v>
      </c>
      <c r="D33" s="19" t="s">
        <v>73</v>
      </c>
      <c r="E33" s="15">
        <v>3001.85</v>
      </c>
      <c r="F33" s="19" t="s">
        <v>10</v>
      </c>
      <c r="G33" s="28" t="s">
        <v>61</v>
      </c>
    </row>
    <row r="34" spans="1:7" x14ac:dyDescent="0.2">
      <c r="A34" s="11">
        <v>23</v>
      </c>
      <c r="B34" s="5" t="s">
        <v>1009</v>
      </c>
      <c r="C34" s="11">
        <v>27712717103</v>
      </c>
      <c r="D34" s="5" t="s">
        <v>1010</v>
      </c>
      <c r="E34" s="8">
        <f>15000+28621.88</f>
        <v>43621.880000000005</v>
      </c>
      <c r="F34" s="44" t="s">
        <v>10</v>
      </c>
      <c r="G34" s="2" t="s">
        <v>147</v>
      </c>
    </row>
    <row r="35" spans="1:7" ht="12.75" thickBot="1" x14ac:dyDescent="0.25">
      <c r="A35" s="11">
        <v>24</v>
      </c>
      <c r="B35" s="5" t="s">
        <v>755</v>
      </c>
      <c r="C35" s="11">
        <v>44270699963</v>
      </c>
      <c r="D35" s="5" t="s">
        <v>756</v>
      </c>
      <c r="E35" s="18">
        <v>29.7</v>
      </c>
      <c r="F35" s="35" t="s">
        <v>10</v>
      </c>
      <c r="G35" s="32" t="s">
        <v>112</v>
      </c>
    </row>
    <row r="36" spans="1:7" ht="15" customHeight="1" x14ac:dyDescent="0.2">
      <c r="A36" s="84">
        <v>25</v>
      </c>
      <c r="B36" s="82" t="s">
        <v>76</v>
      </c>
      <c r="C36" s="84">
        <v>11471889269</v>
      </c>
      <c r="D36" s="82" t="s">
        <v>77</v>
      </c>
      <c r="E36" s="16">
        <f>8787.46+3723.78+8091.28</f>
        <v>20602.52</v>
      </c>
      <c r="F36" s="82" t="s">
        <v>10</v>
      </c>
      <c r="G36" s="31" t="s">
        <v>58</v>
      </c>
    </row>
    <row r="37" spans="1:7" ht="12.75" thickBot="1" x14ac:dyDescent="0.25">
      <c r="A37" s="70"/>
      <c r="B37" s="69"/>
      <c r="C37" s="70"/>
      <c r="D37" s="69"/>
      <c r="E37" s="15">
        <f>3697.3+554.8+3142.5</f>
        <v>7394.6</v>
      </c>
      <c r="F37" s="69"/>
      <c r="G37" s="28" t="s">
        <v>23</v>
      </c>
    </row>
    <row r="38" spans="1:7" x14ac:dyDescent="0.2">
      <c r="A38" s="84">
        <v>26</v>
      </c>
      <c r="B38" s="82" t="s">
        <v>78</v>
      </c>
      <c r="C38" s="84">
        <v>27759560625</v>
      </c>
      <c r="D38" s="82" t="s">
        <v>80</v>
      </c>
      <c r="E38" s="16">
        <v>6658.95</v>
      </c>
      <c r="F38" s="82" t="s">
        <v>10</v>
      </c>
      <c r="G38" s="31" t="s">
        <v>79</v>
      </c>
    </row>
    <row r="39" spans="1:7" ht="15.75" customHeight="1" thickBot="1" x14ac:dyDescent="0.25">
      <c r="A39" s="85"/>
      <c r="B39" s="83"/>
      <c r="C39" s="85"/>
      <c r="D39" s="83"/>
      <c r="E39" s="18">
        <v>1307.48</v>
      </c>
      <c r="F39" s="83"/>
      <c r="G39" s="32" t="s">
        <v>23</v>
      </c>
    </row>
    <row r="40" spans="1:7" x14ac:dyDescent="0.2">
      <c r="A40" s="84">
        <v>27</v>
      </c>
      <c r="B40" s="82" t="s">
        <v>800</v>
      </c>
      <c r="C40" s="84">
        <v>91367259285</v>
      </c>
      <c r="D40" s="82" t="s">
        <v>801</v>
      </c>
      <c r="E40" s="16">
        <v>4696.1499999999996</v>
      </c>
      <c r="F40" s="82" t="s">
        <v>10</v>
      </c>
      <c r="G40" s="31" t="s">
        <v>147</v>
      </c>
    </row>
    <row r="41" spans="1:7" ht="12.75" thickBot="1" x14ac:dyDescent="0.25">
      <c r="A41" s="85"/>
      <c r="B41" s="83"/>
      <c r="C41" s="85"/>
      <c r="D41" s="83"/>
      <c r="E41" s="18">
        <v>1000</v>
      </c>
      <c r="F41" s="83"/>
      <c r="G41" s="32" t="s">
        <v>130</v>
      </c>
    </row>
    <row r="42" spans="1:7" x14ac:dyDescent="0.2">
      <c r="A42" s="37">
        <v>28</v>
      </c>
      <c r="B42" s="33" t="s">
        <v>1636</v>
      </c>
      <c r="C42" s="37">
        <v>99978094596</v>
      </c>
      <c r="D42" s="33" t="s">
        <v>1637</v>
      </c>
      <c r="E42" s="17">
        <v>3200</v>
      </c>
      <c r="F42" s="33" t="s">
        <v>10</v>
      </c>
      <c r="G42" s="34" t="s">
        <v>23</v>
      </c>
    </row>
    <row r="43" spans="1:7" x14ac:dyDescent="0.2">
      <c r="A43" s="37">
        <v>29</v>
      </c>
      <c r="B43" s="5" t="s">
        <v>280</v>
      </c>
      <c r="C43" s="11">
        <v>17140959007</v>
      </c>
      <c r="D43" s="5" t="s">
        <v>281</v>
      </c>
      <c r="E43" s="8">
        <v>85</v>
      </c>
      <c r="F43" s="5" t="s">
        <v>10</v>
      </c>
      <c r="G43" s="2" t="s">
        <v>23</v>
      </c>
    </row>
    <row r="44" spans="1:7" x14ac:dyDescent="0.2">
      <c r="A44" s="11">
        <v>30</v>
      </c>
      <c r="B44" s="5" t="s">
        <v>1638</v>
      </c>
      <c r="C44" s="12">
        <v>43699365561</v>
      </c>
      <c r="D44" s="5" t="s">
        <v>1639</v>
      </c>
      <c r="E44" s="8">
        <v>1357.74</v>
      </c>
      <c r="F44" s="5" t="s">
        <v>10</v>
      </c>
      <c r="G44" s="2" t="s">
        <v>147</v>
      </c>
    </row>
    <row r="45" spans="1:7" x14ac:dyDescent="0.2">
      <c r="A45" s="37">
        <v>31</v>
      </c>
      <c r="B45" s="5" t="s">
        <v>1640</v>
      </c>
      <c r="C45" s="11">
        <v>32994906719</v>
      </c>
      <c r="D45" s="5" t="s">
        <v>1641</v>
      </c>
      <c r="E45" s="8">
        <v>77</v>
      </c>
      <c r="F45" s="5" t="s">
        <v>10</v>
      </c>
      <c r="G45" s="2" t="s">
        <v>173</v>
      </c>
    </row>
    <row r="46" spans="1:7" x14ac:dyDescent="0.2">
      <c r="A46" s="11">
        <v>32</v>
      </c>
      <c r="B46" s="44" t="s">
        <v>1642</v>
      </c>
      <c r="C46" s="45" t="s">
        <v>1643</v>
      </c>
      <c r="D46" s="44" t="s">
        <v>1644</v>
      </c>
      <c r="E46" s="8">
        <v>2354</v>
      </c>
      <c r="F46" s="5" t="s">
        <v>10</v>
      </c>
      <c r="G46" s="2" t="s">
        <v>23</v>
      </c>
    </row>
    <row r="47" spans="1:7" x14ac:dyDescent="0.2">
      <c r="A47" s="37">
        <v>33</v>
      </c>
      <c r="B47" s="5" t="s">
        <v>100</v>
      </c>
      <c r="C47" s="11" t="s">
        <v>17</v>
      </c>
      <c r="D47" s="5" t="s">
        <v>17</v>
      </c>
      <c r="E47" s="8">
        <v>281.41000000000003</v>
      </c>
      <c r="F47" s="5" t="s">
        <v>10</v>
      </c>
      <c r="G47" s="2" t="s">
        <v>99</v>
      </c>
    </row>
    <row r="48" spans="1:7" x14ac:dyDescent="0.2">
      <c r="A48" s="11">
        <v>34</v>
      </c>
      <c r="B48" s="5" t="s">
        <v>17</v>
      </c>
      <c r="C48" s="11" t="s">
        <v>17</v>
      </c>
      <c r="D48" s="5" t="s">
        <v>17</v>
      </c>
      <c r="E48" s="8">
        <v>3584</v>
      </c>
      <c r="F48" s="5" t="s">
        <v>10</v>
      </c>
      <c r="G48" s="2" t="s">
        <v>101</v>
      </c>
    </row>
    <row r="49" spans="1:9" x14ac:dyDescent="0.2">
      <c r="A49" s="37">
        <v>35</v>
      </c>
      <c r="B49" s="5" t="s">
        <v>711</v>
      </c>
      <c r="C49" s="11">
        <v>33813961569</v>
      </c>
      <c r="D49" s="5" t="s">
        <v>712</v>
      </c>
      <c r="E49" s="8">
        <f>115.66+177.52</f>
        <v>293.18</v>
      </c>
      <c r="F49" s="5" t="s">
        <v>10</v>
      </c>
      <c r="G49" s="2" t="s">
        <v>112</v>
      </c>
    </row>
    <row r="50" spans="1:9" x14ac:dyDescent="0.2">
      <c r="A50" s="11">
        <v>36</v>
      </c>
      <c r="B50" s="5" t="s">
        <v>1414</v>
      </c>
      <c r="C50" s="11">
        <v>99080771351</v>
      </c>
      <c r="D50" s="5" t="s">
        <v>1415</v>
      </c>
      <c r="E50" s="8">
        <f>193.4+240.85</f>
        <v>434.25</v>
      </c>
      <c r="F50" s="5" t="s">
        <v>10</v>
      </c>
      <c r="G50" s="2" t="s">
        <v>23</v>
      </c>
    </row>
    <row r="51" spans="1:9" x14ac:dyDescent="0.2">
      <c r="A51" s="37">
        <v>37</v>
      </c>
      <c r="B51" s="5" t="s">
        <v>890</v>
      </c>
      <c r="C51" s="12" t="s">
        <v>892</v>
      </c>
      <c r="D51" s="5" t="s">
        <v>891</v>
      </c>
      <c r="E51" s="8">
        <f>420+265</f>
        <v>685</v>
      </c>
      <c r="F51" s="5" t="s">
        <v>10</v>
      </c>
      <c r="G51" s="2" t="s">
        <v>23</v>
      </c>
    </row>
    <row r="52" spans="1:9" x14ac:dyDescent="0.2">
      <c r="A52" s="11">
        <v>38</v>
      </c>
      <c r="B52" s="5" t="s">
        <v>109</v>
      </c>
      <c r="C52" s="11">
        <v>32179081874</v>
      </c>
      <c r="D52" s="5" t="s">
        <v>110</v>
      </c>
      <c r="E52" s="15">
        <f>335.6+251.34</f>
        <v>586.94000000000005</v>
      </c>
      <c r="F52" s="19" t="s">
        <v>10</v>
      </c>
      <c r="G52" s="28" t="s">
        <v>108</v>
      </c>
    </row>
    <row r="53" spans="1:9" ht="12.75" thickBot="1" x14ac:dyDescent="0.25">
      <c r="A53" s="37">
        <v>39</v>
      </c>
      <c r="B53" s="23" t="s">
        <v>113</v>
      </c>
      <c r="C53" s="24">
        <v>76173743169</v>
      </c>
      <c r="D53" s="23" t="s">
        <v>111</v>
      </c>
      <c r="E53" s="8">
        <v>550.34</v>
      </c>
      <c r="F53" s="23" t="s">
        <v>10</v>
      </c>
      <c r="G53" s="2" t="s">
        <v>108</v>
      </c>
    </row>
    <row r="54" spans="1:9" x14ac:dyDescent="0.2">
      <c r="A54" s="84">
        <v>40</v>
      </c>
      <c r="B54" s="82" t="s">
        <v>119</v>
      </c>
      <c r="C54" s="84">
        <v>34976993601</v>
      </c>
      <c r="D54" s="82" t="s">
        <v>120</v>
      </c>
      <c r="E54" s="16">
        <f>211.29+221.25</f>
        <v>432.53999999999996</v>
      </c>
      <c r="F54" s="82" t="s">
        <v>10</v>
      </c>
      <c r="G54" s="31" t="s">
        <v>118</v>
      </c>
    </row>
    <row r="55" spans="1:9" ht="12.75" thickBot="1" x14ac:dyDescent="0.25">
      <c r="A55" s="85"/>
      <c r="B55" s="83"/>
      <c r="C55" s="85"/>
      <c r="D55" s="83"/>
      <c r="E55" s="18">
        <f>79.14+227.29+61.39+228.79</f>
        <v>596.61</v>
      </c>
      <c r="F55" s="83"/>
      <c r="G55" s="32" t="s">
        <v>287</v>
      </c>
    </row>
    <row r="56" spans="1:9" x14ac:dyDescent="0.2">
      <c r="A56" s="37">
        <v>41</v>
      </c>
      <c r="B56" s="33" t="s">
        <v>17</v>
      </c>
      <c r="C56" s="37" t="s">
        <v>17</v>
      </c>
      <c r="D56" s="33" t="s">
        <v>17</v>
      </c>
      <c r="E56" s="17">
        <v>1753.1</v>
      </c>
      <c r="F56" s="33" t="s">
        <v>10</v>
      </c>
      <c r="G56" s="34" t="s">
        <v>121</v>
      </c>
    </row>
    <row r="57" spans="1:9" x14ac:dyDescent="0.2">
      <c r="A57" s="11">
        <v>42</v>
      </c>
      <c r="B57" s="5" t="s">
        <v>17</v>
      </c>
      <c r="C57" s="11" t="s">
        <v>17</v>
      </c>
      <c r="D57" s="5" t="s">
        <v>17</v>
      </c>
      <c r="E57" s="8">
        <v>25037.82</v>
      </c>
      <c r="F57" s="5" t="s">
        <v>10</v>
      </c>
      <c r="G57" s="2" t="s">
        <v>122</v>
      </c>
    </row>
    <row r="58" spans="1:9" x14ac:dyDescent="0.2">
      <c r="A58" s="11">
        <v>43</v>
      </c>
      <c r="B58" s="5" t="s">
        <v>1410</v>
      </c>
      <c r="C58" s="11">
        <v>74153407974</v>
      </c>
      <c r="D58" s="5" t="s">
        <v>1645</v>
      </c>
      <c r="E58" s="8">
        <v>37.5</v>
      </c>
      <c r="F58" s="5" t="s">
        <v>10</v>
      </c>
      <c r="G58" s="2" t="s">
        <v>23</v>
      </c>
    </row>
    <row r="59" spans="1:9" x14ac:dyDescent="0.2">
      <c r="A59" s="11">
        <v>44</v>
      </c>
      <c r="B59" s="23" t="s">
        <v>132</v>
      </c>
      <c r="C59" s="24">
        <v>81793146560</v>
      </c>
      <c r="D59" s="23" t="s">
        <v>133</v>
      </c>
      <c r="E59" s="8">
        <f>2062.88+16.31</f>
        <v>2079.19</v>
      </c>
      <c r="F59" s="5" t="s">
        <v>10</v>
      </c>
      <c r="G59" s="2" t="s">
        <v>292</v>
      </c>
    </row>
    <row r="60" spans="1:9" x14ac:dyDescent="0.2">
      <c r="A60" s="11">
        <v>45</v>
      </c>
      <c r="B60" s="5" t="s">
        <v>443</v>
      </c>
      <c r="C60" s="11" t="s">
        <v>17</v>
      </c>
      <c r="D60" s="5" t="s">
        <v>17</v>
      </c>
      <c r="E60" s="8">
        <v>200</v>
      </c>
      <c r="F60" s="5" t="s">
        <v>10</v>
      </c>
      <c r="G60" s="2" t="s">
        <v>179</v>
      </c>
      <c r="I60" s="13"/>
    </row>
    <row r="61" spans="1:9" x14ac:dyDescent="0.2">
      <c r="A61" s="11">
        <v>46</v>
      </c>
      <c r="B61" s="5" t="s">
        <v>546</v>
      </c>
      <c r="C61" s="11">
        <v>56717147376</v>
      </c>
      <c r="D61" s="5" t="s">
        <v>547</v>
      </c>
      <c r="E61" s="8">
        <f>1406.25+1716.83</f>
        <v>3123.08</v>
      </c>
      <c r="F61" s="5" t="s">
        <v>10</v>
      </c>
      <c r="G61" s="2" t="s">
        <v>23</v>
      </c>
    </row>
    <row r="62" spans="1:9" x14ac:dyDescent="0.2">
      <c r="A62" s="11">
        <v>47</v>
      </c>
      <c r="B62" s="5" t="s">
        <v>846</v>
      </c>
      <c r="C62" s="11">
        <v>51469557335</v>
      </c>
      <c r="D62" s="5" t="s">
        <v>847</v>
      </c>
      <c r="E62" s="8">
        <f>1748.33</f>
        <v>1748.33</v>
      </c>
      <c r="F62" s="5" t="s">
        <v>10</v>
      </c>
      <c r="G62" s="2" t="s">
        <v>23</v>
      </c>
    </row>
    <row r="63" spans="1:9" x14ac:dyDescent="0.2">
      <c r="A63" s="11">
        <v>48</v>
      </c>
      <c r="B63" s="5" t="s">
        <v>138</v>
      </c>
      <c r="C63" s="11">
        <v>46163832762</v>
      </c>
      <c r="D63" s="5" t="s">
        <v>202</v>
      </c>
      <c r="E63" s="8">
        <v>179.01</v>
      </c>
      <c r="F63" s="5" t="s">
        <v>10</v>
      </c>
      <c r="G63" s="2" t="s">
        <v>112</v>
      </c>
    </row>
    <row r="64" spans="1:9" x14ac:dyDescent="0.2">
      <c r="A64" s="11">
        <v>49</v>
      </c>
      <c r="B64" s="5" t="s">
        <v>140</v>
      </c>
      <c r="C64" s="11">
        <v>41412434130</v>
      </c>
      <c r="D64" s="5" t="s">
        <v>197</v>
      </c>
      <c r="E64" s="8">
        <v>67.28</v>
      </c>
      <c r="F64" s="5" t="s">
        <v>10</v>
      </c>
      <c r="G64" s="2" t="s">
        <v>112</v>
      </c>
    </row>
    <row r="65" spans="1:9" x14ac:dyDescent="0.2">
      <c r="A65" s="11">
        <v>50</v>
      </c>
      <c r="B65" s="5" t="s">
        <v>855</v>
      </c>
      <c r="C65" s="11">
        <v>41317489366</v>
      </c>
      <c r="D65" s="5" t="s">
        <v>856</v>
      </c>
      <c r="E65" s="8">
        <f>1.4</f>
        <v>1.4</v>
      </c>
      <c r="F65" s="5" t="s">
        <v>10</v>
      </c>
      <c r="G65" s="2" t="s">
        <v>263</v>
      </c>
      <c r="I65" s="13"/>
    </row>
    <row r="66" spans="1:9" x14ac:dyDescent="0.2">
      <c r="A66" s="11">
        <v>51</v>
      </c>
      <c r="B66" s="5" t="s">
        <v>142</v>
      </c>
      <c r="C66" s="12" t="s">
        <v>203</v>
      </c>
      <c r="D66" s="5" t="s">
        <v>204</v>
      </c>
      <c r="E66" s="8">
        <v>193.88</v>
      </c>
      <c r="F66" s="5" t="s">
        <v>10</v>
      </c>
      <c r="G66" s="2" t="s">
        <v>112</v>
      </c>
    </row>
    <row r="67" spans="1:9" x14ac:dyDescent="0.2">
      <c r="A67" s="11">
        <v>52</v>
      </c>
      <c r="B67" s="5" t="s">
        <v>143</v>
      </c>
      <c r="C67" s="11">
        <v>85584865987</v>
      </c>
      <c r="D67" s="5" t="s">
        <v>205</v>
      </c>
      <c r="E67" s="8">
        <v>1683.06</v>
      </c>
      <c r="F67" s="5" t="s">
        <v>10</v>
      </c>
      <c r="G67" s="2" t="s">
        <v>112</v>
      </c>
    </row>
    <row r="68" spans="1:9" ht="12.75" thickBot="1" x14ac:dyDescent="0.25">
      <c r="A68" s="11">
        <v>53</v>
      </c>
      <c r="B68" s="5" t="s">
        <v>144</v>
      </c>
      <c r="C68" s="11" t="s">
        <v>740</v>
      </c>
      <c r="D68" s="5" t="s">
        <v>740</v>
      </c>
      <c r="E68" s="8">
        <v>1176</v>
      </c>
      <c r="F68" s="5" t="s">
        <v>10</v>
      </c>
      <c r="G68" s="2" t="s">
        <v>145</v>
      </c>
    </row>
    <row r="69" spans="1:9" x14ac:dyDescent="0.2">
      <c r="A69" s="84">
        <v>54</v>
      </c>
      <c r="B69" s="94" t="s">
        <v>868</v>
      </c>
      <c r="C69" s="84">
        <v>11374156664</v>
      </c>
      <c r="D69" s="94" t="s">
        <v>869</v>
      </c>
      <c r="E69" s="16">
        <f>26+30.83+10.5</f>
        <v>67.33</v>
      </c>
      <c r="F69" s="97" t="s">
        <v>10</v>
      </c>
      <c r="G69" s="31" t="s">
        <v>23</v>
      </c>
    </row>
    <row r="70" spans="1:9" ht="15" customHeight="1" x14ac:dyDescent="0.2">
      <c r="A70" s="70"/>
      <c r="B70" s="95"/>
      <c r="C70" s="70"/>
      <c r="D70" s="95"/>
      <c r="E70" s="20">
        <v>5282.81</v>
      </c>
      <c r="F70" s="72"/>
      <c r="G70" s="41" t="s">
        <v>147</v>
      </c>
    </row>
    <row r="71" spans="1:9" ht="15.75" customHeight="1" thickBot="1" x14ac:dyDescent="0.25">
      <c r="A71" s="85"/>
      <c r="B71" s="96"/>
      <c r="C71" s="85"/>
      <c r="D71" s="96"/>
      <c r="E71" s="18">
        <v>880.8</v>
      </c>
      <c r="F71" s="98"/>
      <c r="G71" s="32" t="s">
        <v>130</v>
      </c>
    </row>
    <row r="72" spans="1:9" x14ac:dyDescent="0.2">
      <c r="A72" s="37">
        <v>55</v>
      </c>
      <c r="B72" s="33" t="s">
        <v>405</v>
      </c>
      <c r="C72" s="37">
        <v>38411868043</v>
      </c>
      <c r="D72" s="33" t="s">
        <v>406</v>
      </c>
      <c r="E72" s="17">
        <f>1350+2937.95</f>
        <v>4287.95</v>
      </c>
      <c r="F72" s="33" t="s">
        <v>10</v>
      </c>
      <c r="G72" s="34" t="s">
        <v>23</v>
      </c>
    </row>
    <row r="73" spans="1:9" x14ac:dyDescent="0.2">
      <c r="A73" s="11">
        <v>56</v>
      </c>
      <c r="B73" s="5" t="s">
        <v>282</v>
      </c>
      <c r="C73" s="11">
        <v>55175013491</v>
      </c>
      <c r="D73" s="5" t="s">
        <v>283</v>
      </c>
      <c r="E73" s="8">
        <f>900+21407.48+7424.52+4943.81</f>
        <v>34675.81</v>
      </c>
      <c r="F73" s="5" t="s">
        <v>10</v>
      </c>
      <c r="G73" s="2" t="s">
        <v>23</v>
      </c>
    </row>
    <row r="74" spans="1:9" x14ac:dyDescent="0.2">
      <c r="A74" s="11">
        <v>57</v>
      </c>
      <c r="B74" s="5" t="s">
        <v>364</v>
      </c>
      <c r="C74" s="11">
        <v>42769559951</v>
      </c>
      <c r="D74" s="5" t="s">
        <v>365</v>
      </c>
      <c r="E74" s="8">
        <f>16000</f>
        <v>16000</v>
      </c>
      <c r="F74" s="5" t="s">
        <v>10</v>
      </c>
      <c r="G74" s="2" t="s">
        <v>23</v>
      </c>
    </row>
    <row r="75" spans="1:9" x14ac:dyDescent="0.2">
      <c r="A75" s="11">
        <v>58</v>
      </c>
      <c r="B75" s="5" t="s">
        <v>857</v>
      </c>
      <c r="C75" s="11">
        <v>29035933600</v>
      </c>
      <c r="D75" s="5" t="s">
        <v>447</v>
      </c>
      <c r="E75" s="8">
        <v>51.28</v>
      </c>
      <c r="F75" s="5" t="s">
        <v>10</v>
      </c>
      <c r="G75" s="2" t="s">
        <v>263</v>
      </c>
    </row>
    <row r="76" spans="1:9" x14ac:dyDescent="0.2">
      <c r="A76" s="11">
        <v>59</v>
      </c>
      <c r="B76" s="5" t="s">
        <v>157</v>
      </c>
      <c r="C76" s="11" t="s">
        <v>216</v>
      </c>
      <c r="D76" s="5" t="s">
        <v>158</v>
      </c>
      <c r="E76" s="8">
        <f>12069.36+3708.41+2356.48+1154.2</f>
        <v>19288.45</v>
      </c>
      <c r="F76" s="5" t="s">
        <v>10</v>
      </c>
      <c r="G76" s="2" t="s">
        <v>23</v>
      </c>
    </row>
    <row r="77" spans="1:9" x14ac:dyDescent="0.2">
      <c r="A77" s="11">
        <v>60</v>
      </c>
      <c r="B77" s="5" t="s">
        <v>96</v>
      </c>
      <c r="C77" s="11">
        <v>78997473821</v>
      </c>
      <c r="D77" s="5" t="s">
        <v>98</v>
      </c>
      <c r="E77" s="8">
        <f>114.1+114.1</f>
        <v>228.2</v>
      </c>
      <c r="F77" s="5" t="s">
        <v>10</v>
      </c>
      <c r="G77" s="2" t="s">
        <v>97</v>
      </c>
    </row>
    <row r="78" spans="1:9" x14ac:dyDescent="0.2">
      <c r="A78" s="11">
        <v>61</v>
      </c>
      <c r="B78" s="5" t="s">
        <v>296</v>
      </c>
      <c r="C78" s="11">
        <v>83416546499</v>
      </c>
      <c r="D78" s="5" t="s">
        <v>299</v>
      </c>
      <c r="E78" s="8">
        <v>37.49</v>
      </c>
      <c r="F78" s="5" t="s">
        <v>10</v>
      </c>
      <c r="G78" s="2" t="s">
        <v>64</v>
      </c>
    </row>
    <row r="79" spans="1:9" ht="12.75" thickBot="1" x14ac:dyDescent="0.25">
      <c r="A79" s="11">
        <v>62</v>
      </c>
      <c r="B79" s="5" t="s">
        <v>407</v>
      </c>
      <c r="C79" s="11">
        <v>89027343720</v>
      </c>
      <c r="D79" s="5" t="s">
        <v>408</v>
      </c>
      <c r="E79" s="8">
        <f>965.91+1376.7+84</f>
        <v>2426.61</v>
      </c>
      <c r="F79" s="5" t="s">
        <v>10</v>
      </c>
      <c r="G79" s="2" t="s">
        <v>23</v>
      </c>
    </row>
    <row r="80" spans="1:9" x14ac:dyDescent="0.2">
      <c r="A80" s="84">
        <v>63</v>
      </c>
      <c r="B80" s="82" t="s">
        <v>170</v>
      </c>
      <c r="C80" s="84">
        <v>52233171260</v>
      </c>
      <c r="D80" s="82" t="s">
        <v>224</v>
      </c>
      <c r="E80" s="29">
        <f>4131.43+800+2368.28+12382.5</f>
        <v>19682.21</v>
      </c>
      <c r="F80" s="82" t="s">
        <v>10</v>
      </c>
      <c r="G80" s="57" t="s">
        <v>23</v>
      </c>
    </row>
    <row r="81" spans="1:9" ht="12.75" thickBot="1" x14ac:dyDescent="0.25">
      <c r="A81" s="85"/>
      <c r="B81" s="83"/>
      <c r="C81" s="85"/>
      <c r="D81" s="83"/>
      <c r="E81" s="18">
        <v>2090.62</v>
      </c>
      <c r="F81" s="83"/>
      <c r="G81" s="32" t="s">
        <v>130</v>
      </c>
    </row>
    <row r="82" spans="1:9" x14ac:dyDescent="0.2">
      <c r="A82" s="88">
        <v>64</v>
      </c>
      <c r="B82" s="90" t="s">
        <v>168</v>
      </c>
      <c r="C82" s="88">
        <v>87682591133</v>
      </c>
      <c r="D82" s="90" t="s">
        <v>223</v>
      </c>
      <c r="E82" s="16">
        <f>6000+22288.74+11397.88</f>
        <v>39686.620000000003</v>
      </c>
      <c r="F82" s="90" t="s">
        <v>10</v>
      </c>
      <c r="G82" s="31" t="s">
        <v>23</v>
      </c>
      <c r="I82" s="13"/>
    </row>
    <row r="83" spans="1:9" ht="12.75" thickBot="1" x14ac:dyDescent="0.25">
      <c r="A83" s="89"/>
      <c r="B83" s="91"/>
      <c r="C83" s="89"/>
      <c r="D83" s="91"/>
      <c r="E83" s="18">
        <v>868.08</v>
      </c>
      <c r="F83" s="91"/>
      <c r="G83" s="32" t="s">
        <v>130</v>
      </c>
      <c r="I83" s="13"/>
    </row>
    <row r="84" spans="1:9" x14ac:dyDescent="0.2">
      <c r="A84" s="37">
        <v>65</v>
      </c>
      <c r="B84" s="58" t="s">
        <v>169</v>
      </c>
      <c r="C84" s="37">
        <v>19849957757</v>
      </c>
      <c r="D84" s="58" t="s">
        <v>225</v>
      </c>
      <c r="E84" s="17">
        <f>1356.29+17369.26+4976.56+732.03+1618.6+1881.85</f>
        <v>27934.589999999997</v>
      </c>
      <c r="F84" s="58" t="s">
        <v>10</v>
      </c>
      <c r="G84" s="34" t="s">
        <v>23</v>
      </c>
    </row>
    <row r="85" spans="1:9" x14ac:dyDescent="0.2">
      <c r="A85" s="11">
        <v>66</v>
      </c>
      <c r="B85" s="5" t="s">
        <v>127</v>
      </c>
      <c r="C85" s="11">
        <v>28921383001</v>
      </c>
      <c r="D85" s="5" t="s">
        <v>129</v>
      </c>
      <c r="E85" s="8">
        <v>224.68</v>
      </c>
      <c r="F85" s="5" t="s">
        <v>10</v>
      </c>
      <c r="G85" s="2" t="s">
        <v>128</v>
      </c>
    </row>
    <row r="86" spans="1:9" x14ac:dyDescent="0.2">
      <c r="A86" s="11">
        <v>67</v>
      </c>
      <c r="B86" s="5" t="s">
        <v>730</v>
      </c>
      <c r="C86" s="11">
        <v>85821130368</v>
      </c>
      <c r="D86" s="5" t="s">
        <v>731</v>
      </c>
      <c r="E86" s="8">
        <v>81.3</v>
      </c>
      <c r="F86" s="27" t="s">
        <v>10</v>
      </c>
      <c r="G86" s="2" t="s">
        <v>176</v>
      </c>
    </row>
    <row r="87" spans="1:9" x14ac:dyDescent="0.2">
      <c r="A87" s="11">
        <v>68</v>
      </c>
      <c r="B87" s="5" t="s">
        <v>154</v>
      </c>
      <c r="C87" s="11">
        <v>33001753417</v>
      </c>
      <c r="D87" s="5" t="s">
        <v>213</v>
      </c>
      <c r="E87" s="8">
        <v>1460</v>
      </c>
      <c r="F87" s="5" t="s">
        <v>10</v>
      </c>
      <c r="G87" s="2" t="s">
        <v>23</v>
      </c>
    </row>
    <row r="88" spans="1:9" x14ac:dyDescent="0.2">
      <c r="A88" s="11">
        <v>69</v>
      </c>
      <c r="B88" s="5" t="s">
        <v>270</v>
      </c>
      <c r="C88" s="11">
        <v>31174430130</v>
      </c>
      <c r="D88" s="5" t="s">
        <v>271</v>
      </c>
      <c r="E88" s="8">
        <f>268.27+331.97</f>
        <v>600.24</v>
      </c>
      <c r="F88" s="5" t="s">
        <v>10</v>
      </c>
      <c r="G88" s="2" t="s">
        <v>112</v>
      </c>
    </row>
    <row r="89" spans="1:9" x14ac:dyDescent="0.2">
      <c r="A89" s="11">
        <v>70</v>
      </c>
      <c r="B89" s="5" t="s">
        <v>17</v>
      </c>
      <c r="C89" s="11" t="s">
        <v>17</v>
      </c>
      <c r="D89" s="5" t="s">
        <v>17</v>
      </c>
      <c r="E89" s="8">
        <f>1400+1400</f>
        <v>2800</v>
      </c>
      <c r="F89" s="5" t="s">
        <v>10</v>
      </c>
      <c r="G89" s="2" t="s">
        <v>177</v>
      </c>
    </row>
    <row r="90" spans="1:9" x14ac:dyDescent="0.2">
      <c r="A90" s="11">
        <v>71</v>
      </c>
      <c r="B90" s="19" t="s">
        <v>17</v>
      </c>
      <c r="C90" s="36" t="s">
        <v>17</v>
      </c>
      <c r="D90" s="19" t="s">
        <v>17</v>
      </c>
      <c r="E90" s="15">
        <v>1819.71</v>
      </c>
      <c r="F90" s="19" t="s">
        <v>10</v>
      </c>
      <c r="G90" s="28" t="s">
        <v>178</v>
      </c>
    </row>
    <row r="91" spans="1:9" x14ac:dyDescent="0.2">
      <c r="A91" s="11">
        <v>72</v>
      </c>
      <c r="B91" s="5" t="s">
        <v>187</v>
      </c>
      <c r="C91" s="11">
        <v>22694857747</v>
      </c>
      <c r="D91" s="5" t="s">
        <v>239</v>
      </c>
      <c r="E91" s="8">
        <v>1070.5</v>
      </c>
      <c r="F91" s="5" t="s">
        <v>10</v>
      </c>
      <c r="G91" s="2" t="s">
        <v>188</v>
      </c>
    </row>
    <row r="92" spans="1:9" x14ac:dyDescent="0.2">
      <c r="A92" s="11">
        <v>73</v>
      </c>
      <c r="B92" s="5" t="s">
        <v>230</v>
      </c>
      <c r="C92" s="11">
        <v>62969535840</v>
      </c>
      <c r="D92" s="5" t="s">
        <v>231</v>
      </c>
      <c r="E92" s="20">
        <f>516.12+1129.93</f>
        <v>1646.0500000000002</v>
      </c>
      <c r="F92" s="40" t="s">
        <v>10</v>
      </c>
      <c r="G92" s="41" t="s">
        <v>23</v>
      </c>
    </row>
    <row r="93" spans="1:9" x14ac:dyDescent="0.2">
      <c r="A93" s="11">
        <v>74</v>
      </c>
      <c r="B93" s="5" t="s">
        <v>704</v>
      </c>
      <c r="C93" s="11">
        <v>11294943436</v>
      </c>
      <c r="D93" s="5" t="s">
        <v>705</v>
      </c>
      <c r="E93" s="8">
        <v>76.53</v>
      </c>
      <c r="F93" s="5" t="s">
        <v>10</v>
      </c>
      <c r="G93" s="2" t="s">
        <v>112</v>
      </c>
    </row>
    <row r="94" spans="1:9" x14ac:dyDescent="0.2">
      <c r="A94" s="11">
        <v>75</v>
      </c>
      <c r="B94" s="5" t="s">
        <v>676</v>
      </c>
      <c r="C94" s="11" t="s">
        <v>677</v>
      </c>
      <c r="D94" s="5" t="s">
        <v>678</v>
      </c>
      <c r="E94" s="8">
        <f>23.88+3.66</f>
        <v>27.54</v>
      </c>
      <c r="F94" s="5" t="s">
        <v>10</v>
      </c>
      <c r="G94" s="2" t="s">
        <v>23</v>
      </c>
    </row>
    <row r="95" spans="1:9" x14ac:dyDescent="0.2">
      <c r="A95" s="11">
        <v>76</v>
      </c>
      <c r="B95" s="5" t="s">
        <v>17</v>
      </c>
      <c r="C95" s="11" t="s">
        <v>17</v>
      </c>
      <c r="D95" s="5" t="s">
        <v>17</v>
      </c>
      <c r="E95" s="8">
        <v>413.44</v>
      </c>
      <c r="F95" s="5" t="s">
        <v>10</v>
      </c>
      <c r="G95" s="2" t="s">
        <v>194</v>
      </c>
    </row>
    <row r="96" spans="1:9" x14ac:dyDescent="0.2">
      <c r="A96" s="11">
        <v>77</v>
      </c>
      <c r="B96" s="5" t="s">
        <v>242</v>
      </c>
      <c r="C96" s="11">
        <v>49800593791</v>
      </c>
      <c r="D96" s="5" t="s">
        <v>244</v>
      </c>
      <c r="E96" s="8">
        <f>2343.15+1913.87+6000+14537.09+8685.38+4000+7128.8+3000</f>
        <v>47608.29</v>
      </c>
      <c r="F96" s="5" t="s">
        <v>10</v>
      </c>
      <c r="G96" s="2" t="s">
        <v>243</v>
      </c>
    </row>
    <row r="97" spans="1:9" x14ac:dyDescent="0.2">
      <c r="A97" s="11">
        <v>78</v>
      </c>
      <c r="B97" s="44" t="s">
        <v>248</v>
      </c>
      <c r="C97" s="45">
        <v>47428597158</v>
      </c>
      <c r="D97" s="44" t="s">
        <v>250</v>
      </c>
      <c r="E97" s="8">
        <f>369+1669.94+305</f>
        <v>2343.94</v>
      </c>
      <c r="F97" s="44" t="s">
        <v>10</v>
      </c>
      <c r="G97" s="2" t="s">
        <v>23</v>
      </c>
      <c r="I97" s="13"/>
    </row>
    <row r="98" spans="1:9" x14ac:dyDescent="0.2">
      <c r="A98" s="11">
        <v>79</v>
      </c>
      <c r="B98" s="5" t="s">
        <v>252</v>
      </c>
      <c r="C98" s="12" t="s">
        <v>254</v>
      </c>
      <c r="D98" s="5" t="s">
        <v>253</v>
      </c>
      <c r="E98" s="8">
        <f>316.75+27.59</f>
        <v>344.34</v>
      </c>
      <c r="F98" s="5" t="s">
        <v>10</v>
      </c>
      <c r="G98" s="2" t="s">
        <v>112</v>
      </c>
    </row>
    <row r="99" spans="1:9" x14ac:dyDescent="0.2">
      <c r="A99" s="11">
        <v>80</v>
      </c>
      <c r="B99" s="5" t="s">
        <v>257</v>
      </c>
      <c r="C99" s="11">
        <v>25392808959</v>
      </c>
      <c r="D99" s="5" t="s">
        <v>258</v>
      </c>
      <c r="E99" s="8">
        <f>2108.58+8670.2</f>
        <v>10778.78</v>
      </c>
      <c r="F99" s="5" t="s">
        <v>10</v>
      </c>
      <c r="G99" s="2" t="s">
        <v>23</v>
      </c>
      <c r="I99" s="13"/>
    </row>
    <row r="100" spans="1:9" x14ac:dyDescent="0.2">
      <c r="A100" s="11">
        <v>81</v>
      </c>
      <c r="B100" s="5" t="s">
        <v>1070</v>
      </c>
      <c r="C100" s="11">
        <v>73294314024</v>
      </c>
      <c r="D100" s="5" t="s">
        <v>675</v>
      </c>
      <c r="E100" s="8">
        <v>806.64</v>
      </c>
      <c r="F100" s="5" t="s">
        <v>10</v>
      </c>
      <c r="G100" s="2" t="s">
        <v>662</v>
      </c>
    </row>
    <row r="101" spans="1:9" x14ac:dyDescent="0.2">
      <c r="A101" s="11">
        <v>82</v>
      </c>
      <c r="B101" s="5" t="s">
        <v>135</v>
      </c>
      <c r="C101" s="11">
        <v>38812451417</v>
      </c>
      <c r="D101" s="5" t="s">
        <v>198</v>
      </c>
      <c r="E101" s="8">
        <f>560.11+160.43+1059.54</f>
        <v>1780.08</v>
      </c>
      <c r="F101" s="5" t="s">
        <v>10</v>
      </c>
      <c r="G101" s="2" t="s">
        <v>112</v>
      </c>
    </row>
    <row r="102" spans="1:9" x14ac:dyDescent="0.2">
      <c r="A102" s="11">
        <v>83</v>
      </c>
      <c r="B102" s="5" t="s">
        <v>265</v>
      </c>
      <c r="C102" s="11">
        <v>63988426425</v>
      </c>
      <c r="D102" s="5" t="s">
        <v>266</v>
      </c>
      <c r="E102" s="8">
        <f>10054.39+21184.71+2576.06+486.88</f>
        <v>34302.039999999994</v>
      </c>
      <c r="F102" s="5" t="s">
        <v>10</v>
      </c>
      <c r="G102" s="2" t="s">
        <v>23</v>
      </c>
    </row>
    <row r="103" spans="1:9" x14ac:dyDescent="0.2">
      <c r="A103" s="11">
        <v>84</v>
      </c>
      <c r="B103" s="5" t="s">
        <v>1150</v>
      </c>
      <c r="C103" s="11">
        <v>75989437093</v>
      </c>
      <c r="D103" s="5" t="s">
        <v>1151</v>
      </c>
      <c r="E103" s="8">
        <f>509</f>
        <v>509</v>
      </c>
      <c r="F103" s="5" t="s">
        <v>10</v>
      </c>
      <c r="G103" s="2" t="s">
        <v>23</v>
      </c>
    </row>
    <row r="104" spans="1:9" x14ac:dyDescent="0.2">
      <c r="A104" s="11">
        <v>85</v>
      </c>
      <c r="B104" s="23" t="s">
        <v>131</v>
      </c>
      <c r="C104" s="24">
        <v>70133616033</v>
      </c>
      <c r="D104" s="23" t="s">
        <v>134</v>
      </c>
      <c r="E104" s="8">
        <v>2448.56</v>
      </c>
      <c r="F104" s="5" t="s">
        <v>10</v>
      </c>
      <c r="G104" s="2" t="s">
        <v>292</v>
      </c>
    </row>
    <row r="105" spans="1:9" x14ac:dyDescent="0.2">
      <c r="A105" s="11">
        <v>86</v>
      </c>
      <c r="B105" s="50" t="s">
        <v>293</v>
      </c>
      <c r="C105" s="45">
        <v>65952859647</v>
      </c>
      <c r="D105" s="44" t="s">
        <v>295</v>
      </c>
      <c r="E105" s="8">
        <f>42973.75+5643.75+25000</f>
        <v>73617.5</v>
      </c>
      <c r="F105" s="50" t="s">
        <v>10</v>
      </c>
      <c r="G105" s="2" t="s">
        <v>23</v>
      </c>
    </row>
    <row r="106" spans="1:9" x14ac:dyDescent="0.2">
      <c r="A106" s="11">
        <v>87</v>
      </c>
      <c r="B106" s="5" t="s">
        <v>284</v>
      </c>
      <c r="C106" s="11">
        <v>10235187780</v>
      </c>
      <c r="D106" s="5" t="s">
        <v>286</v>
      </c>
      <c r="E106" s="8">
        <v>354.3</v>
      </c>
      <c r="F106" s="5" t="s">
        <v>10</v>
      </c>
      <c r="G106" s="2" t="s">
        <v>285</v>
      </c>
    </row>
    <row r="107" spans="1:9" x14ac:dyDescent="0.2">
      <c r="A107" s="11">
        <v>88</v>
      </c>
      <c r="B107" s="5" t="s">
        <v>301</v>
      </c>
      <c r="C107" s="11">
        <v>60314119747</v>
      </c>
      <c r="D107" s="5" t="s">
        <v>298</v>
      </c>
      <c r="E107" s="8">
        <f>35369.59+19665.55+35000+36483.61</f>
        <v>126518.75</v>
      </c>
      <c r="F107" s="5" t="s">
        <v>10</v>
      </c>
      <c r="G107" s="2" t="s">
        <v>23</v>
      </c>
    </row>
    <row r="108" spans="1:9" x14ac:dyDescent="0.2">
      <c r="A108" s="11">
        <v>89</v>
      </c>
      <c r="B108" s="5" t="s">
        <v>83</v>
      </c>
      <c r="C108" s="11">
        <v>68419124305</v>
      </c>
      <c r="D108" s="5" t="s">
        <v>84</v>
      </c>
      <c r="E108" s="8">
        <v>106.2</v>
      </c>
      <c r="F108" s="5" t="s">
        <v>10</v>
      </c>
      <c r="G108" s="2" t="s">
        <v>82</v>
      </c>
    </row>
    <row r="109" spans="1:9" x14ac:dyDescent="0.2">
      <c r="A109" s="11">
        <v>90</v>
      </c>
      <c r="B109" s="5" t="s">
        <v>308</v>
      </c>
      <c r="C109" s="12" t="s">
        <v>310</v>
      </c>
      <c r="D109" s="5" t="s">
        <v>309</v>
      </c>
      <c r="E109" s="8">
        <f>6187.5+2987.5+8881.25+5157+4000</f>
        <v>27213.25</v>
      </c>
      <c r="F109" s="5" t="s">
        <v>10</v>
      </c>
      <c r="G109" s="2" t="s">
        <v>23</v>
      </c>
    </row>
    <row r="110" spans="1:9" x14ac:dyDescent="0.2">
      <c r="A110" s="11">
        <v>91</v>
      </c>
      <c r="B110" s="5" t="s">
        <v>311</v>
      </c>
      <c r="C110" s="11">
        <v>95243482140</v>
      </c>
      <c r="D110" s="5" t="s">
        <v>312</v>
      </c>
      <c r="E110" s="8">
        <f>1820.22+171+656.49+678.66+656.28+639.71</f>
        <v>4622.3599999999997</v>
      </c>
      <c r="F110" s="5" t="s">
        <v>10</v>
      </c>
      <c r="G110" s="2" t="s">
        <v>23</v>
      </c>
    </row>
    <row r="111" spans="1:9" x14ac:dyDescent="0.2">
      <c r="A111" s="11">
        <v>92</v>
      </c>
      <c r="B111" s="5" t="s">
        <v>17</v>
      </c>
      <c r="C111" s="11" t="s">
        <v>17</v>
      </c>
      <c r="D111" s="5" t="s">
        <v>17</v>
      </c>
      <c r="E111" s="8">
        <v>398.17</v>
      </c>
      <c r="F111" s="5" t="s">
        <v>10</v>
      </c>
      <c r="G111" s="2" t="s">
        <v>1134</v>
      </c>
    </row>
    <row r="112" spans="1:9" x14ac:dyDescent="0.2">
      <c r="A112" s="11">
        <v>93</v>
      </c>
      <c r="B112" s="5" t="s">
        <v>321</v>
      </c>
      <c r="C112" s="11">
        <v>66346732180</v>
      </c>
      <c r="D112" s="5" t="s">
        <v>322</v>
      </c>
      <c r="E112" s="8">
        <f>400+575</f>
        <v>975</v>
      </c>
      <c r="F112" s="5" t="s">
        <v>10</v>
      </c>
      <c r="G112" s="2" t="s">
        <v>243</v>
      </c>
    </row>
    <row r="113" spans="1:10" x14ac:dyDescent="0.2">
      <c r="A113" s="11">
        <v>94</v>
      </c>
      <c r="B113" s="5" t="s">
        <v>323</v>
      </c>
      <c r="C113" s="11">
        <v>15907062900</v>
      </c>
      <c r="D113" s="5" t="s">
        <v>325</v>
      </c>
      <c r="E113" s="8">
        <v>2692.33</v>
      </c>
      <c r="F113" s="5" t="s">
        <v>10</v>
      </c>
      <c r="G113" s="2" t="s">
        <v>324</v>
      </c>
    </row>
    <row r="114" spans="1:10" x14ac:dyDescent="0.2">
      <c r="A114" s="11">
        <v>95</v>
      </c>
      <c r="B114" s="5" t="s">
        <v>1011</v>
      </c>
      <c r="C114" s="11">
        <v>57270798205</v>
      </c>
      <c r="D114" s="5" t="s">
        <v>1012</v>
      </c>
      <c r="E114" s="8">
        <f>995.5+995.5+498.56</f>
        <v>2489.56</v>
      </c>
      <c r="F114" s="5" t="s">
        <v>10</v>
      </c>
      <c r="G114" s="2" t="s">
        <v>12</v>
      </c>
    </row>
    <row r="115" spans="1:10" x14ac:dyDescent="0.2">
      <c r="A115" s="11">
        <v>96</v>
      </c>
      <c r="B115" s="5" t="s">
        <v>88</v>
      </c>
      <c r="C115" s="11">
        <v>42889250808</v>
      </c>
      <c r="D115" s="5" t="s">
        <v>90</v>
      </c>
      <c r="E115" s="8">
        <v>84.31</v>
      </c>
      <c r="F115" s="5" t="s">
        <v>10</v>
      </c>
      <c r="G115" s="2" t="s">
        <v>86</v>
      </c>
    </row>
    <row r="116" spans="1:10" x14ac:dyDescent="0.2">
      <c r="A116" s="11">
        <v>97</v>
      </c>
      <c r="B116" s="5" t="s">
        <v>341</v>
      </c>
      <c r="C116" s="11">
        <v>78969071801</v>
      </c>
      <c r="D116" s="5" t="s">
        <v>342</v>
      </c>
      <c r="E116" s="8">
        <f>691.35+174+276+356.5</f>
        <v>1497.85</v>
      </c>
      <c r="F116" s="5" t="s">
        <v>10</v>
      </c>
      <c r="G116" s="2" t="s">
        <v>23</v>
      </c>
      <c r="J116" s="13"/>
    </row>
    <row r="117" spans="1:10" x14ac:dyDescent="0.2">
      <c r="A117" s="11">
        <v>98</v>
      </c>
      <c r="B117" s="5" t="s">
        <v>508</v>
      </c>
      <c r="C117" s="11">
        <v>47590958254</v>
      </c>
      <c r="D117" s="5" t="s">
        <v>510</v>
      </c>
      <c r="E117" s="8">
        <v>106.25</v>
      </c>
      <c r="F117" s="5" t="s">
        <v>10</v>
      </c>
      <c r="G117" s="2" t="s">
        <v>287</v>
      </c>
      <c r="J117" s="13"/>
    </row>
    <row r="118" spans="1:10" x14ac:dyDescent="0.2">
      <c r="A118" s="11">
        <v>99</v>
      </c>
      <c r="B118" s="5" t="s">
        <v>361</v>
      </c>
      <c r="C118" s="11">
        <v>86742905038</v>
      </c>
      <c r="D118" s="5" t="s">
        <v>363</v>
      </c>
      <c r="E118" s="8">
        <v>138.75</v>
      </c>
      <c r="F118" s="5" t="s">
        <v>10</v>
      </c>
      <c r="G118" s="2" t="s">
        <v>287</v>
      </c>
      <c r="J118" s="13"/>
    </row>
    <row r="119" spans="1:10" x14ac:dyDescent="0.2">
      <c r="A119" s="11">
        <v>100</v>
      </c>
      <c r="B119" s="5" t="s">
        <v>278</v>
      </c>
      <c r="C119" s="11">
        <v>51846314410</v>
      </c>
      <c r="D119" s="5" t="s">
        <v>279</v>
      </c>
      <c r="E119" s="8">
        <v>1750.11</v>
      </c>
      <c r="F119" s="5" t="s">
        <v>10</v>
      </c>
      <c r="G119" s="2" t="s">
        <v>287</v>
      </c>
      <c r="J119" s="13"/>
    </row>
    <row r="120" spans="1:10" ht="12.75" thickBot="1" x14ac:dyDescent="0.25">
      <c r="A120" s="11">
        <v>101</v>
      </c>
      <c r="B120" s="19" t="s">
        <v>728</v>
      </c>
      <c r="C120" s="43">
        <v>83910501982</v>
      </c>
      <c r="D120" s="19" t="s">
        <v>729</v>
      </c>
      <c r="E120" s="15">
        <v>60.24</v>
      </c>
      <c r="F120" s="19" t="s">
        <v>10</v>
      </c>
      <c r="G120" s="28" t="s">
        <v>23</v>
      </c>
      <c r="J120" s="13"/>
    </row>
    <row r="121" spans="1:10" x14ac:dyDescent="0.2">
      <c r="A121" s="84">
        <v>102</v>
      </c>
      <c r="B121" s="82" t="s">
        <v>804</v>
      </c>
      <c r="C121" s="84">
        <v>31190261041</v>
      </c>
      <c r="D121" s="82" t="s">
        <v>805</v>
      </c>
      <c r="E121" s="16">
        <v>377.13</v>
      </c>
      <c r="F121" s="82" t="s">
        <v>10</v>
      </c>
      <c r="G121" s="31" t="s">
        <v>23</v>
      </c>
      <c r="J121" s="13"/>
    </row>
    <row r="122" spans="1:10" ht="12.75" thickBot="1" x14ac:dyDescent="0.25">
      <c r="A122" s="85"/>
      <c r="B122" s="83"/>
      <c r="C122" s="85"/>
      <c r="D122" s="83"/>
      <c r="E122" s="18">
        <v>632</v>
      </c>
      <c r="F122" s="83"/>
      <c r="G122" s="32" t="s">
        <v>147</v>
      </c>
      <c r="J122" s="13"/>
    </row>
    <row r="123" spans="1:10" x14ac:dyDescent="0.2">
      <c r="A123" s="37">
        <v>103</v>
      </c>
      <c r="B123" s="5" t="s">
        <v>842</v>
      </c>
      <c r="C123" s="11">
        <v>15533693916</v>
      </c>
      <c r="D123" s="5" t="s">
        <v>843</v>
      </c>
      <c r="E123" s="8">
        <v>495</v>
      </c>
      <c r="F123" s="5" t="s">
        <v>10</v>
      </c>
      <c r="G123" s="2" t="s">
        <v>23</v>
      </c>
      <c r="J123" s="13"/>
    </row>
    <row r="124" spans="1:10" x14ac:dyDescent="0.2">
      <c r="A124" s="11">
        <v>104</v>
      </c>
      <c r="B124" s="5" t="s">
        <v>970</v>
      </c>
      <c r="C124" s="12">
        <v>54655542852</v>
      </c>
      <c r="D124" s="5" t="s">
        <v>971</v>
      </c>
      <c r="E124" s="8">
        <v>131.25</v>
      </c>
      <c r="F124" s="5" t="s">
        <v>10</v>
      </c>
      <c r="G124" s="2" t="s">
        <v>243</v>
      </c>
      <c r="J124" s="13"/>
    </row>
    <row r="125" spans="1:10" x14ac:dyDescent="0.2">
      <c r="A125" s="11">
        <v>105</v>
      </c>
      <c r="B125" s="5" t="s">
        <v>943</v>
      </c>
      <c r="C125" s="11">
        <v>68381265730</v>
      </c>
      <c r="D125" s="5" t="s">
        <v>944</v>
      </c>
      <c r="E125" s="8">
        <v>2358</v>
      </c>
      <c r="F125" s="5" t="s">
        <v>10</v>
      </c>
      <c r="G125" s="2" t="s">
        <v>23</v>
      </c>
      <c r="J125" s="13"/>
    </row>
    <row r="126" spans="1:10" x14ac:dyDescent="0.2">
      <c r="A126" s="11">
        <v>106</v>
      </c>
      <c r="B126" s="5" t="s">
        <v>1646</v>
      </c>
      <c r="C126" s="11">
        <v>52762270365</v>
      </c>
      <c r="D126" s="5" t="s">
        <v>1647</v>
      </c>
      <c r="E126" s="8">
        <v>55.1</v>
      </c>
      <c r="F126" s="5" t="s">
        <v>10</v>
      </c>
      <c r="G126" s="2" t="s">
        <v>23</v>
      </c>
      <c r="J126" s="13"/>
    </row>
    <row r="127" spans="1:10" x14ac:dyDescent="0.2">
      <c r="A127" s="11">
        <v>107</v>
      </c>
      <c r="B127" s="5" t="s">
        <v>1648</v>
      </c>
      <c r="C127" s="11">
        <v>98474410137</v>
      </c>
      <c r="D127" s="5" t="s">
        <v>1649</v>
      </c>
      <c r="E127" s="8">
        <v>223.44</v>
      </c>
      <c r="F127" s="5" t="s">
        <v>10</v>
      </c>
      <c r="G127" s="2" t="s">
        <v>23</v>
      </c>
      <c r="J127" s="13"/>
    </row>
    <row r="128" spans="1:10" x14ac:dyDescent="0.2">
      <c r="A128" s="11">
        <v>108</v>
      </c>
      <c r="B128" s="5" t="s">
        <v>1650</v>
      </c>
      <c r="C128" s="11">
        <v>66878084788</v>
      </c>
      <c r="D128" s="5" t="s">
        <v>1651</v>
      </c>
      <c r="E128" s="8">
        <v>70</v>
      </c>
      <c r="F128" s="5" t="s">
        <v>10</v>
      </c>
      <c r="G128" s="2" t="s">
        <v>23</v>
      </c>
      <c r="J128" s="13"/>
    </row>
    <row r="129" spans="1:10" x14ac:dyDescent="0.2">
      <c r="A129" s="11">
        <v>109</v>
      </c>
      <c r="B129" s="5" t="s">
        <v>1652</v>
      </c>
      <c r="C129" s="11">
        <v>64101004757</v>
      </c>
      <c r="D129" s="5" t="s">
        <v>1653</v>
      </c>
      <c r="E129" s="8">
        <v>160</v>
      </c>
      <c r="F129" s="5" t="s">
        <v>10</v>
      </c>
      <c r="G129" s="2" t="s">
        <v>1595</v>
      </c>
      <c r="J129" s="13"/>
    </row>
    <row r="130" spans="1:10" ht="12.75" customHeight="1" x14ac:dyDescent="0.2">
      <c r="A130" s="11">
        <v>110</v>
      </c>
      <c r="B130" s="5" t="s">
        <v>1617</v>
      </c>
      <c r="C130" s="11" t="s">
        <v>1618</v>
      </c>
      <c r="D130" s="5" t="s">
        <v>1619</v>
      </c>
      <c r="E130" s="8">
        <v>3576</v>
      </c>
      <c r="F130" s="5" t="s">
        <v>10</v>
      </c>
      <c r="G130" s="2" t="s">
        <v>23</v>
      </c>
      <c r="J130" s="13"/>
    </row>
    <row r="131" spans="1:10" x14ac:dyDescent="0.2">
      <c r="A131" s="11">
        <v>111</v>
      </c>
      <c r="B131" s="5" t="s">
        <v>1654</v>
      </c>
      <c r="C131" s="11" t="s">
        <v>1655</v>
      </c>
      <c r="D131" s="5" t="s">
        <v>1656</v>
      </c>
      <c r="E131" s="8">
        <v>191.1</v>
      </c>
      <c r="F131" s="5" t="s">
        <v>10</v>
      </c>
      <c r="G131" s="2" t="s">
        <v>23</v>
      </c>
      <c r="J131" s="13"/>
    </row>
    <row r="132" spans="1:10" x14ac:dyDescent="0.2">
      <c r="A132" s="11">
        <v>112</v>
      </c>
      <c r="B132" s="5" t="s">
        <v>432</v>
      </c>
      <c r="C132" s="11">
        <v>48633701387</v>
      </c>
      <c r="D132" s="5" t="s">
        <v>433</v>
      </c>
      <c r="E132" s="8">
        <f>66.31</f>
        <v>66.31</v>
      </c>
      <c r="F132" s="5" t="s">
        <v>10</v>
      </c>
      <c r="G132" s="2" t="s">
        <v>23</v>
      </c>
    </row>
    <row r="133" spans="1:10" x14ac:dyDescent="0.2">
      <c r="A133" s="11">
        <v>113</v>
      </c>
      <c r="B133" s="5" t="s">
        <v>374</v>
      </c>
      <c r="C133" s="11">
        <v>48249084626</v>
      </c>
      <c r="D133" s="5" t="s">
        <v>375</v>
      </c>
      <c r="E133" s="8">
        <f>988.98+76.93+151.95+65.25+1336.23</f>
        <v>2619.34</v>
      </c>
      <c r="F133" s="5" t="s">
        <v>10</v>
      </c>
      <c r="G133" s="2" t="s">
        <v>23</v>
      </c>
    </row>
    <row r="134" spans="1:10" x14ac:dyDescent="0.2">
      <c r="A134" s="11">
        <v>114</v>
      </c>
      <c r="B134" s="5" t="s">
        <v>372</v>
      </c>
      <c r="C134" s="11">
        <v>64021574271</v>
      </c>
      <c r="D134" s="5" t="s">
        <v>373</v>
      </c>
      <c r="E134" s="8">
        <f>315+105+1143.58+97.48</f>
        <v>1661.06</v>
      </c>
      <c r="F134" s="5" t="s">
        <v>10</v>
      </c>
      <c r="G134" s="2" t="s">
        <v>23</v>
      </c>
    </row>
    <row r="135" spans="1:10" x14ac:dyDescent="0.2">
      <c r="A135" s="11">
        <v>115</v>
      </c>
      <c r="B135" s="5" t="s">
        <v>386</v>
      </c>
      <c r="C135" s="11">
        <v>60365429880</v>
      </c>
      <c r="D135" s="5" t="s">
        <v>387</v>
      </c>
      <c r="E135" s="8">
        <f>207.08</f>
        <v>207.08</v>
      </c>
      <c r="F135" s="5" t="s">
        <v>10</v>
      </c>
      <c r="G135" s="2" t="s">
        <v>23</v>
      </c>
    </row>
    <row r="136" spans="1:10" x14ac:dyDescent="0.2">
      <c r="A136" s="11">
        <v>116</v>
      </c>
      <c r="B136" s="5" t="s">
        <v>391</v>
      </c>
      <c r="C136" s="11">
        <v>37879152548</v>
      </c>
      <c r="D136" s="5" t="s">
        <v>392</v>
      </c>
      <c r="E136" s="8">
        <f>533.25+483.6</f>
        <v>1016.85</v>
      </c>
      <c r="F136" s="5" t="s">
        <v>10</v>
      </c>
      <c r="G136" s="2" t="s">
        <v>23</v>
      </c>
    </row>
    <row r="137" spans="1:10" x14ac:dyDescent="0.2">
      <c r="A137" s="11">
        <v>117</v>
      </c>
      <c r="B137" s="5" t="s">
        <v>459</v>
      </c>
      <c r="C137" s="11">
        <v>64008199572</v>
      </c>
      <c r="D137" s="5" t="s">
        <v>460</v>
      </c>
      <c r="E137" s="8">
        <f>69.1+5.58</f>
        <v>74.679999999999993</v>
      </c>
      <c r="F137" s="5" t="s">
        <v>10</v>
      </c>
      <c r="G137" s="2" t="s">
        <v>23</v>
      </c>
    </row>
    <row r="138" spans="1:10" x14ac:dyDescent="0.2">
      <c r="A138" s="11">
        <v>118</v>
      </c>
      <c r="B138" s="5" t="s">
        <v>395</v>
      </c>
      <c r="C138" s="11">
        <v>39048902955</v>
      </c>
      <c r="D138" s="5" t="s">
        <v>396</v>
      </c>
      <c r="E138" s="8">
        <v>763.49</v>
      </c>
      <c r="F138" s="5" t="s">
        <v>10</v>
      </c>
      <c r="G138" s="2" t="s">
        <v>64</v>
      </c>
    </row>
    <row r="139" spans="1:10" x14ac:dyDescent="0.2">
      <c r="A139" s="11">
        <v>119</v>
      </c>
      <c r="B139" s="5" t="s">
        <v>397</v>
      </c>
      <c r="C139" s="11">
        <v>85375838060</v>
      </c>
      <c r="D139" s="5" t="s">
        <v>398</v>
      </c>
      <c r="E139" s="8">
        <f>71.38+285.5+28.55</f>
        <v>385.43</v>
      </c>
      <c r="F139" s="5" t="s">
        <v>10</v>
      </c>
      <c r="G139" s="2" t="s">
        <v>64</v>
      </c>
    </row>
    <row r="140" spans="1:10" x14ac:dyDescent="0.2">
      <c r="A140" s="11">
        <v>120</v>
      </c>
      <c r="B140" s="5" t="s">
        <v>401</v>
      </c>
      <c r="C140" s="11">
        <v>55614719992</v>
      </c>
      <c r="D140" s="5" t="s">
        <v>402</v>
      </c>
      <c r="E140" s="8">
        <f>326.48+743.02</f>
        <v>1069.5</v>
      </c>
      <c r="F140" s="5" t="s">
        <v>10</v>
      </c>
      <c r="G140" s="2" t="s">
        <v>23</v>
      </c>
    </row>
    <row r="141" spans="1:10" x14ac:dyDescent="0.2">
      <c r="A141" s="11">
        <v>121</v>
      </c>
      <c r="B141" s="5" t="s">
        <v>1192</v>
      </c>
      <c r="C141" s="11">
        <v>14273924910</v>
      </c>
      <c r="D141" s="5" t="s">
        <v>228</v>
      </c>
      <c r="E141" s="8">
        <f>483.75+1836.25</f>
        <v>2320</v>
      </c>
      <c r="F141" s="5" t="s">
        <v>10</v>
      </c>
      <c r="G141" s="2" t="s">
        <v>176</v>
      </c>
    </row>
    <row r="142" spans="1:10" x14ac:dyDescent="0.2">
      <c r="A142" s="11">
        <v>122</v>
      </c>
      <c r="B142" s="5" t="s">
        <v>439</v>
      </c>
      <c r="C142" s="11">
        <v>48841983787</v>
      </c>
      <c r="D142" s="5" t="s">
        <v>440</v>
      </c>
      <c r="E142" s="8">
        <f>7315+206.25+1887.5</f>
        <v>9408.75</v>
      </c>
      <c r="F142" s="5" t="s">
        <v>10</v>
      </c>
      <c r="G142" s="2" t="s">
        <v>23</v>
      </c>
    </row>
    <row r="143" spans="1:10" x14ac:dyDescent="0.2">
      <c r="A143" s="11">
        <v>123</v>
      </c>
      <c r="B143" s="5" t="s">
        <v>896</v>
      </c>
      <c r="C143" s="11">
        <v>28440665923</v>
      </c>
      <c r="D143" s="5" t="s">
        <v>897</v>
      </c>
      <c r="E143" s="8">
        <f>59.85+65</f>
        <v>124.85</v>
      </c>
      <c r="F143" s="5" t="s">
        <v>10</v>
      </c>
      <c r="G143" s="2" t="s">
        <v>330</v>
      </c>
    </row>
    <row r="144" spans="1:10" x14ac:dyDescent="0.2">
      <c r="A144" s="11">
        <v>124</v>
      </c>
      <c r="B144" s="5" t="s">
        <v>137</v>
      </c>
      <c r="C144" s="12" t="s">
        <v>200</v>
      </c>
      <c r="D144" s="5" t="s">
        <v>201</v>
      </c>
      <c r="E144" s="8">
        <f>269.02+204.63</f>
        <v>473.65</v>
      </c>
      <c r="F144" s="5" t="s">
        <v>10</v>
      </c>
      <c r="G144" s="2" t="s">
        <v>112</v>
      </c>
    </row>
    <row r="145" spans="1:7" x14ac:dyDescent="0.2">
      <c r="A145" s="11">
        <v>125</v>
      </c>
      <c r="B145" s="5" t="s">
        <v>976</v>
      </c>
      <c r="C145" s="11">
        <v>26211106548</v>
      </c>
      <c r="D145" s="5" t="s">
        <v>141</v>
      </c>
      <c r="E145" s="8">
        <f>131.77+140.02</f>
        <v>271.79000000000002</v>
      </c>
      <c r="F145" s="5" t="s">
        <v>10</v>
      </c>
      <c r="G145" s="2" t="s">
        <v>112</v>
      </c>
    </row>
    <row r="146" spans="1:7" x14ac:dyDescent="0.2">
      <c r="A146" s="11">
        <v>126</v>
      </c>
      <c r="B146" s="5" t="s">
        <v>586</v>
      </c>
      <c r="C146" s="11">
        <v>100299833</v>
      </c>
      <c r="D146" s="5" t="s">
        <v>610</v>
      </c>
      <c r="E146" s="8">
        <v>350</v>
      </c>
      <c r="F146" s="5" t="s">
        <v>10</v>
      </c>
      <c r="G146" s="2" t="s">
        <v>23</v>
      </c>
    </row>
    <row r="147" spans="1:7" x14ac:dyDescent="0.2">
      <c r="A147" s="11">
        <v>127</v>
      </c>
      <c r="B147" s="5" t="s">
        <v>382</v>
      </c>
      <c r="C147" s="11">
        <v>76080865307</v>
      </c>
      <c r="D147" s="5" t="s">
        <v>383</v>
      </c>
      <c r="E147" s="8">
        <v>41.36</v>
      </c>
      <c r="F147" s="5" t="s">
        <v>10</v>
      </c>
      <c r="G147" s="2" t="s">
        <v>287</v>
      </c>
    </row>
    <row r="148" spans="1:7" x14ac:dyDescent="0.2">
      <c r="A148" s="11">
        <v>128</v>
      </c>
      <c r="B148" s="5" t="s">
        <v>332</v>
      </c>
      <c r="C148" s="12" t="s">
        <v>334</v>
      </c>
      <c r="D148" s="5" t="s">
        <v>333</v>
      </c>
      <c r="E148" s="8">
        <f>135+136.12+26.58+120</f>
        <v>417.7</v>
      </c>
      <c r="F148" s="5" t="s">
        <v>10</v>
      </c>
      <c r="G148" s="2" t="s">
        <v>330</v>
      </c>
    </row>
    <row r="149" spans="1:7" x14ac:dyDescent="0.2">
      <c r="A149" s="11">
        <v>129</v>
      </c>
      <c r="B149" s="5" t="s">
        <v>555</v>
      </c>
      <c r="C149" s="11">
        <v>56733014701</v>
      </c>
      <c r="D149" s="5" t="s">
        <v>556</v>
      </c>
      <c r="E149" s="8">
        <v>2949.5</v>
      </c>
      <c r="F149" s="5" t="s">
        <v>10</v>
      </c>
      <c r="G149" s="2" t="s">
        <v>23</v>
      </c>
    </row>
    <row r="150" spans="1:7" x14ac:dyDescent="0.2">
      <c r="A150" s="11">
        <v>130</v>
      </c>
      <c r="B150" s="5" t="s">
        <v>136</v>
      </c>
      <c r="C150" s="11">
        <v>70467048139</v>
      </c>
      <c r="D150" s="5" t="s">
        <v>199</v>
      </c>
      <c r="E150" s="8">
        <f>33.29+28.96</f>
        <v>62.25</v>
      </c>
      <c r="F150" s="5" t="s">
        <v>10</v>
      </c>
      <c r="G150" s="2" t="s">
        <v>112</v>
      </c>
    </row>
    <row r="151" spans="1:7" x14ac:dyDescent="0.2">
      <c r="A151" s="11">
        <v>131</v>
      </c>
      <c r="B151" s="5" t="s">
        <v>195</v>
      </c>
      <c r="C151" s="11">
        <v>85621555748</v>
      </c>
      <c r="D151" s="5" t="s">
        <v>241</v>
      </c>
      <c r="E151" s="8">
        <v>220.2</v>
      </c>
      <c r="F151" s="5" t="s">
        <v>10</v>
      </c>
      <c r="G151" s="2" t="s">
        <v>173</v>
      </c>
    </row>
    <row r="152" spans="1:7" x14ac:dyDescent="0.2">
      <c r="A152" s="11">
        <v>132</v>
      </c>
      <c r="B152" s="19" t="s">
        <v>1316</v>
      </c>
      <c r="C152" s="36">
        <v>86648038250</v>
      </c>
      <c r="D152" s="19" t="s">
        <v>961</v>
      </c>
      <c r="E152" s="15">
        <v>81.25</v>
      </c>
      <c r="F152" s="19" t="s">
        <v>10</v>
      </c>
      <c r="G152" s="28" t="s">
        <v>118</v>
      </c>
    </row>
    <row r="153" spans="1:7" x14ac:dyDescent="0.2">
      <c r="A153" s="11">
        <v>133</v>
      </c>
      <c r="B153" s="50" t="s">
        <v>60</v>
      </c>
      <c r="C153" s="45">
        <v>39901919995</v>
      </c>
      <c r="D153" s="50" t="s">
        <v>72</v>
      </c>
      <c r="E153" s="8">
        <v>1637.5</v>
      </c>
      <c r="F153" s="50" t="s">
        <v>10</v>
      </c>
      <c r="G153" s="2" t="s">
        <v>318</v>
      </c>
    </row>
    <row r="154" spans="1:7" x14ac:dyDescent="0.2">
      <c r="A154" s="11">
        <v>134</v>
      </c>
      <c r="B154" s="33" t="s">
        <v>412</v>
      </c>
      <c r="C154" s="37">
        <v>85611744662</v>
      </c>
      <c r="D154" s="33" t="s">
        <v>413</v>
      </c>
      <c r="E154" s="17">
        <f>506.04</f>
        <v>506.04</v>
      </c>
      <c r="F154" s="33" t="s">
        <v>10</v>
      </c>
      <c r="G154" s="34" t="s">
        <v>23</v>
      </c>
    </row>
    <row r="155" spans="1:7" x14ac:dyDescent="0.2">
      <c r="A155" s="11">
        <v>135</v>
      </c>
      <c r="B155" s="5" t="s">
        <v>794</v>
      </c>
      <c r="C155" s="11">
        <v>69927324836</v>
      </c>
      <c r="D155" s="5" t="s">
        <v>795</v>
      </c>
      <c r="E155" s="8">
        <f>174.7</f>
        <v>174.7</v>
      </c>
      <c r="F155" s="5" t="s">
        <v>10</v>
      </c>
      <c r="G155" s="2" t="s">
        <v>23</v>
      </c>
    </row>
    <row r="156" spans="1:7" x14ac:dyDescent="0.2">
      <c r="A156" s="11">
        <v>136</v>
      </c>
      <c r="B156" s="5" t="s">
        <v>162</v>
      </c>
      <c r="C156" s="11">
        <v>58353015102</v>
      </c>
      <c r="D156" s="5" t="s">
        <v>219</v>
      </c>
      <c r="E156" s="8">
        <v>75.36</v>
      </c>
      <c r="F156" s="5" t="s">
        <v>10</v>
      </c>
      <c r="G156" s="2" t="s">
        <v>130</v>
      </c>
    </row>
    <row r="157" spans="1:7" x14ac:dyDescent="0.2">
      <c r="A157" s="11">
        <v>137</v>
      </c>
      <c r="B157" s="5" t="s">
        <v>494</v>
      </c>
      <c r="C157" s="11">
        <v>54482179263</v>
      </c>
      <c r="D157" s="5" t="s">
        <v>495</v>
      </c>
      <c r="E157" s="8">
        <f>159.43</f>
        <v>159.43</v>
      </c>
      <c r="F157" s="5" t="s">
        <v>10</v>
      </c>
      <c r="G157" s="2" t="s">
        <v>23</v>
      </c>
    </row>
    <row r="158" spans="1:7" ht="12.75" thickBot="1" x14ac:dyDescent="0.25">
      <c r="A158" s="11">
        <v>138</v>
      </c>
      <c r="B158" s="19" t="s">
        <v>125</v>
      </c>
      <c r="C158" s="36">
        <v>15429488788</v>
      </c>
      <c r="D158" s="19" t="s">
        <v>126</v>
      </c>
      <c r="E158" s="15">
        <f>961+148.11+961</f>
        <v>2070.11</v>
      </c>
      <c r="F158" s="19" t="s">
        <v>10</v>
      </c>
      <c r="G158" s="28" t="s">
        <v>124</v>
      </c>
    </row>
    <row r="159" spans="1:7" x14ac:dyDescent="0.2">
      <c r="A159" s="84">
        <v>139</v>
      </c>
      <c r="B159" s="82" t="s">
        <v>974</v>
      </c>
      <c r="C159" s="84">
        <v>89984971143</v>
      </c>
      <c r="D159" s="82" t="s">
        <v>975</v>
      </c>
      <c r="E159" s="16">
        <v>811.22</v>
      </c>
      <c r="F159" s="82" t="s">
        <v>10</v>
      </c>
      <c r="G159" s="31" t="s">
        <v>130</v>
      </c>
    </row>
    <row r="160" spans="1:7" ht="12.75" thickBot="1" x14ac:dyDescent="0.25">
      <c r="A160" s="85"/>
      <c r="B160" s="83"/>
      <c r="C160" s="85"/>
      <c r="D160" s="83"/>
      <c r="E160" s="18">
        <f>820.19+211.39+332.5</f>
        <v>1364.08</v>
      </c>
      <c r="F160" s="83"/>
      <c r="G160" s="32" t="s">
        <v>23</v>
      </c>
    </row>
    <row r="161" spans="1:7" x14ac:dyDescent="0.2">
      <c r="A161" s="37">
        <v>140</v>
      </c>
      <c r="B161" s="33" t="s">
        <v>541</v>
      </c>
      <c r="C161" s="37">
        <v>32371574171</v>
      </c>
      <c r="D161" s="33" t="s">
        <v>542</v>
      </c>
      <c r="E161" s="17">
        <f>775+375+562.5+875</f>
        <v>2587.5</v>
      </c>
      <c r="F161" s="33" t="s">
        <v>10</v>
      </c>
      <c r="G161" s="34" t="s">
        <v>243</v>
      </c>
    </row>
    <row r="162" spans="1:7" x14ac:dyDescent="0.2">
      <c r="A162" s="11">
        <v>141</v>
      </c>
      <c r="B162" s="5" t="s">
        <v>87</v>
      </c>
      <c r="C162" s="12" t="s">
        <v>92</v>
      </c>
      <c r="D162" s="5" t="s">
        <v>91</v>
      </c>
      <c r="E162" s="8">
        <v>647.08000000000004</v>
      </c>
      <c r="F162" s="5" t="s">
        <v>10</v>
      </c>
      <c r="G162" s="2" t="s">
        <v>86</v>
      </c>
    </row>
    <row r="163" spans="1:7" x14ac:dyDescent="0.2">
      <c r="A163" s="11">
        <v>142</v>
      </c>
      <c r="B163" s="19" t="s">
        <v>1148</v>
      </c>
      <c r="C163" s="36">
        <v>48293321289</v>
      </c>
      <c r="D163" s="19" t="s">
        <v>1149</v>
      </c>
      <c r="E163" s="8">
        <f>2000+5000+5000</f>
        <v>12000</v>
      </c>
      <c r="F163" s="5" t="s">
        <v>10</v>
      </c>
      <c r="G163" s="2" t="s">
        <v>23</v>
      </c>
    </row>
    <row r="164" spans="1:7" x14ac:dyDescent="0.2">
      <c r="A164" s="11">
        <v>143</v>
      </c>
      <c r="B164" s="5" t="s">
        <v>441</v>
      </c>
      <c r="C164" s="11">
        <v>12443607100</v>
      </c>
      <c r="D164" s="5" t="s">
        <v>442</v>
      </c>
      <c r="E164" s="8">
        <f>936+3753.75+4061.25</f>
        <v>8751</v>
      </c>
      <c r="F164" s="5" t="s">
        <v>10</v>
      </c>
      <c r="G164" s="2" t="s">
        <v>23</v>
      </c>
    </row>
    <row r="165" spans="1:7" x14ac:dyDescent="0.2">
      <c r="A165" s="11">
        <v>144</v>
      </c>
      <c r="B165" s="5" t="s">
        <v>501</v>
      </c>
      <c r="C165" s="11">
        <v>79506290597</v>
      </c>
      <c r="D165" s="5" t="s">
        <v>503</v>
      </c>
      <c r="E165" s="8">
        <f>80.14+80.14</f>
        <v>160.28</v>
      </c>
      <c r="F165" s="5" t="s">
        <v>10</v>
      </c>
      <c r="G165" s="2" t="s">
        <v>502</v>
      </c>
    </row>
    <row r="166" spans="1:7" x14ac:dyDescent="0.2">
      <c r="A166" s="11">
        <v>145</v>
      </c>
      <c r="B166" s="5" t="s">
        <v>1339</v>
      </c>
      <c r="C166" s="11">
        <v>74867487620</v>
      </c>
      <c r="D166" s="5" t="s">
        <v>314</v>
      </c>
      <c r="E166" s="8">
        <f>920.13+9416.91+3365.32+523.02</f>
        <v>14225.38</v>
      </c>
      <c r="F166" s="5" t="s">
        <v>10</v>
      </c>
      <c r="G166" s="2" t="s">
        <v>23</v>
      </c>
    </row>
    <row r="167" spans="1:7" x14ac:dyDescent="0.2">
      <c r="A167" s="11">
        <v>146</v>
      </c>
      <c r="B167" s="5" t="s">
        <v>17</v>
      </c>
      <c r="C167" s="11" t="s">
        <v>17</v>
      </c>
      <c r="D167" s="5" t="s">
        <v>17</v>
      </c>
      <c r="E167" s="8">
        <f>560+560</f>
        <v>1120</v>
      </c>
      <c r="F167" s="5" t="s">
        <v>10</v>
      </c>
      <c r="G167" s="2" t="s">
        <v>18</v>
      </c>
    </row>
    <row r="168" spans="1:7" x14ac:dyDescent="0.2">
      <c r="A168" s="11">
        <v>147</v>
      </c>
      <c r="B168" s="5" t="s">
        <v>17</v>
      </c>
      <c r="C168" s="11" t="s">
        <v>17</v>
      </c>
      <c r="D168" s="5" t="s">
        <v>17</v>
      </c>
      <c r="E168" s="8">
        <v>560</v>
      </c>
      <c r="F168" s="5" t="s">
        <v>10</v>
      </c>
      <c r="G168" s="2" t="s">
        <v>123</v>
      </c>
    </row>
    <row r="169" spans="1:7" x14ac:dyDescent="0.2">
      <c r="A169" s="11">
        <v>148</v>
      </c>
      <c r="B169" s="5" t="s">
        <v>305</v>
      </c>
      <c r="C169" s="11" t="s">
        <v>307</v>
      </c>
      <c r="D169" s="5" t="s">
        <v>306</v>
      </c>
      <c r="E169" s="8">
        <v>3665.54</v>
      </c>
      <c r="F169" s="5" t="s">
        <v>10</v>
      </c>
      <c r="G169" s="2" t="s">
        <v>23</v>
      </c>
    </row>
    <row r="170" spans="1:7" x14ac:dyDescent="0.2">
      <c r="A170" s="11">
        <v>149</v>
      </c>
      <c r="B170" s="5" t="s">
        <v>507</v>
      </c>
      <c r="C170" s="11">
        <v>94505281348</v>
      </c>
      <c r="D170" s="5" t="s">
        <v>509</v>
      </c>
      <c r="E170" s="8">
        <f>157.5+157.5</f>
        <v>315</v>
      </c>
      <c r="F170" s="5" t="s">
        <v>10</v>
      </c>
      <c r="G170" s="2" t="s">
        <v>287</v>
      </c>
    </row>
    <row r="171" spans="1:7" x14ac:dyDescent="0.2">
      <c r="A171" s="11">
        <v>150</v>
      </c>
      <c r="B171" s="5" t="s">
        <v>1565</v>
      </c>
      <c r="C171" s="11">
        <v>47284388403</v>
      </c>
      <c r="D171" s="5" t="s">
        <v>1566</v>
      </c>
      <c r="E171" s="8">
        <v>103.95</v>
      </c>
      <c r="F171" s="5" t="s">
        <v>10</v>
      </c>
      <c r="G171" s="2" t="s">
        <v>173</v>
      </c>
    </row>
    <row r="172" spans="1:7" x14ac:dyDescent="0.2">
      <c r="A172" s="11">
        <v>151</v>
      </c>
      <c r="B172" s="5" t="s">
        <v>1507</v>
      </c>
      <c r="C172" s="11">
        <v>78131970792</v>
      </c>
      <c r="D172" s="5" t="s">
        <v>1508</v>
      </c>
      <c r="E172" s="8">
        <f>550+137.5+400+1100</f>
        <v>2187.5</v>
      </c>
      <c r="F172" s="5" t="s">
        <v>10</v>
      </c>
      <c r="G172" s="2" t="s">
        <v>243</v>
      </c>
    </row>
    <row r="173" spans="1:7" x14ac:dyDescent="0.2">
      <c r="A173" s="11">
        <v>152</v>
      </c>
      <c r="B173" s="19" t="s">
        <v>819</v>
      </c>
      <c r="C173" s="36">
        <v>30568370357</v>
      </c>
      <c r="D173" s="19" t="s">
        <v>820</v>
      </c>
      <c r="E173" s="15">
        <f>75+82.13+156.25</f>
        <v>313.38</v>
      </c>
      <c r="F173" s="19" t="s">
        <v>10</v>
      </c>
      <c r="G173" s="28" t="s">
        <v>287</v>
      </c>
    </row>
    <row r="174" spans="1:7" x14ac:dyDescent="0.2">
      <c r="A174" s="11">
        <v>153</v>
      </c>
      <c r="B174" s="5" t="s">
        <v>267</v>
      </c>
      <c r="C174" s="12" t="s">
        <v>269</v>
      </c>
      <c r="D174" s="5" t="s">
        <v>268</v>
      </c>
      <c r="E174" s="8">
        <f>3530</f>
        <v>3530</v>
      </c>
      <c r="F174" s="5" t="s">
        <v>10</v>
      </c>
      <c r="G174" s="2" t="s">
        <v>23</v>
      </c>
    </row>
    <row r="175" spans="1:7" x14ac:dyDescent="0.2">
      <c r="A175" s="11">
        <v>154</v>
      </c>
      <c r="B175" s="5" t="s">
        <v>461</v>
      </c>
      <c r="C175" s="11">
        <v>83157399243</v>
      </c>
      <c r="D175" s="5" t="s">
        <v>462</v>
      </c>
      <c r="E175" s="8">
        <f>125+43.75+231.25+415+356.25</f>
        <v>1171.25</v>
      </c>
      <c r="F175" s="5" t="s">
        <v>10</v>
      </c>
      <c r="G175" s="2" t="s">
        <v>23</v>
      </c>
    </row>
    <row r="176" spans="1:7" x14ac:dyDescent="0.2">
      <c r="A176" s="11">
        <v>155</v>
      </c>
      <c r="B176" s="5" t="s">
        <v>480</v>
      </c>
      <c r="C176" s="11">
        <v>69857578031</v>
      </c>
      <c r="D176" s="5" t="s">
        <v>482</v>
      </c>
      <c r="E176" s="8">
        <v>914.74</v>
      </c>
      <c r="F176" s="5" t="s">
        <v>10</v>
      </c>
      <c r="G176" s="2" t="s">
        <v>481</v>
      </c>
    </row>
    <row r="177" spans="1:7" x14ac:dyDescent="0.2">
      <c r="A177" s="11">
        <v>156</v>
      </c>
      <c r="B177" s="5" t="s">
        <v>56</v>
      </c>
      <c r="C177" s="11">
        <v>23308926345</v>
      </c>
      <c r="D177" s="5" t="s">
        <v>74</v>
      </c>
      <c r="E177" s="15">
        <v>207.31</v>
      </c>
      <c r="F177" s="5" t="s">
        <v>10</v>
      </c>
      <c r="G177" s="2" t="s">
        <v>55</v>
      </c>
    </row>
    <row r="178" spans="1:7" x14ac:dyDescent="0.2">
      <c r="A178" s="11">
        <v>157</v>
      </c>
      <c r="B178" s="5" t="s">
        <v>682</v>
      </c>
      <c r="C178" s="11" t="s">
        <v>683</v>
      </c>
      <c r="D178" s="5" t="s">
        <v>684</v>
      </c>
      <c r="E178" s="8">
        <f>9397.5+1660+210</f>
        <v>11267.5</v>
      </c>
      <c r="F178" s="5" t="s">
        <v>10</v>
      </c>
      <c r="G178" s="2" t="s">
        <v>23</v>
      </c>
    </row>
    <row r="179" spans="1:7" x14ac:dyDescent="0.2">
      <c r="A179" s="11">
        <v>158</v>
      </c>
      <c r="B179" s="5" t="s">
        <v>585</v>
      </c>
      <c r="C179" s="11">
        <v>25706416813</v>
      </c>
      <c r="D179" s="5" t="s">
        <v>609</v>
      </c>
      <c r="E179" s="8">
        <v>3153.25</v>
      </c>
      <c r="F179" s="5" t="s">
        <v>10</v>
      </c>
      <c r="G179" s="2" t="s">
        <v>23</v>
      </c>
    </row>
    <row r="180" spans="1:7" x14ac:dyDescent="0.2">
      <c r="A180" s="11">
        <v>159</v>
      </c>
      <c r="B180" s="5" t="s">
        <v>349</v>
      </c>
      <c r="C180" s="11">
        <v>31022857153</v>
      </c>
      <c r="D180" s="5" t="s">
        <v>351</v>
      </c>
      <c r="E180" s="8">
        <f>4000</f>
        <v>4000</v>
      </c>
      <c r="F180" s="5" t="s">
        <v>10</v>
      </c>
      <c r="G180" s="2" t="s">
        <v>350</v>
      </c>
    </row>
    <row r="181" spans="1:7" x14ac:dyDescent="0.2">
      <c r="A181" s="11">
        <v>160</v>
      </c>
      <c r="B181" s="5" t="s">
        <v>912</v>
      </c>
      <c r="C181" s="11">
        <v>52909770220</v>
      </c>
      <c r="D181" s="5" t="s">
        <v>89</v>
      </c>
      <c r="E181" s="8">
        <v>2026.25</v>
      </c>
      <c r="F181" s="5" t="s">
        <v>10</v>
      </c>
      <c r="G181" s="2" t="s">
        <v>86</v>
      </c>
    </row>
    <row r="182" spans="1:7" x14ac:dyDescent="0.2">
      <c r="A182" s="11">
        <v>161</v>
      </c>
      <c r="B182" s="5" t="s">
        <v>719</v>
      </c>
      <c r="C182" s="11">
        <v>88470929840</v>
      </c>
      <c r="D182" s="5" t="s">
        <v>720</v>
      </c>
      <c r="E182" s="8">
        <v>202.5</v>
      </c>
      <c r="F182" s="5" t="s">
        <v>10</v>
      </c>
      <c r="G182" s="2" t="s">
        <v>23</v>
      </c>
    </row>
    <row r="183" spans="1:7" x14ac:dyDescent="0.2">
      <c r="A183" s="11">
        <v>162</v>
      </c>
      <c r="B183" s="5" t="s">
        <v>1511</v>
      </c>
      <c r="C183" s="11">
        <v>75798666307</v>
      </c>
      <c r="D183" s="5" t="s">
        <v>1512</v>
      </c>
      <c r="E183" s="8">
        <f>455.91+291.44</f>
        <v>747.35</v>
      </c>
      <c r="F183" s="5" t="s">
        <v>10</v>
      </c>
      <c r="G183" s="2" t="s">
        <v>637</v>
      </c>
    </row>
    <row r="184" spans="1:7" x14ac:dyDescent="0.2">
      <c r="A184" s="11">
        <v>163</v>
      </c>
      <c r="B184" s="5" t="s">
        <v>315</v>
      </c>
      <c r="C184" s="11">
        <v>98656691838</v>
      </c>
      <c r="D184" s="5" t="s">
        <v>316</v>
      </c>
      <c r="E184" s="8">
        <v>6141.25</v>
      </c>
      <c r="F184" s="5" t="s">
        <v>10</v>
      </c>
      <c r="G184" s="2" t="s">
        <v>23</v>
      </c>
    </row>
    <row r="185" spans="1:7" x14ac:dyDescent="0.2">
      <c r="A185" s="11">
        <v>164</v>
      </c>
      <c r="B185" s="5" t="s">
        <v>1523</v>
      </c>
      <c r="C185" s="11">
        <v>77022388360</v>
      </c>
      <c r="D185" s="5" t="s">
        <v>1236</v>
      </c>
      <c r="E185" s="8">
        <v>128.80000000000001</v>
      </c>
      <c r="F185" s="5" t="s">
        <v>10</v>
      </c>
      <c r="G185" s="2" t="s">
        <v>23</v>
      </c>
    </row>
    <row r="186" spans="1:7" x14ac:dyDescent="0.2">
      <c r="A186" s="11">
        <v>165</v>
      </c>
      <c r="B186" s="5" t="s">
        <v>65</v>
      </c>
      <c r="C186" s="11">
        <v>93039509752</v>
      </c>
      <c r="D186" s="5" t="s">
        <v>75</v>
      </c>
      <c r="E186" s="20">
        <f>566.89+1763.54</f>
        <v>2330.4299999999998</v>
      </c>
      <c r="F186" s="19" t="s">
        <v>10</v>
      </c>
      <c r="G186" s="2" t="s">
        <v>66</v>
      </c>
    </row>
    <row r="187" spans="1:7" x14ac:dyDescent="0.2">
      <c r="A187" s="11">
        <v>166</v>
      </c>
      <c r="B187" s="5" t="s">
        <v>272</v>
      </c>
      <c r="C187" s="11">
        <v>96514832734</v>
      </c>
      <c r="D187" s="5" t="s">
        <v>273</v>
      </c>
      <c r="E187" s="8">
        <f>1000+3000</f>
        <v>4000</v>
      </c>
      <c r="F187" s="5" t="s">
        <v>10</v>
      </c>
      <c r="G187" s="2" t="s">
        <v>23</v>
      </c>
    </row>
    <row r="188" spans="1:7" ht="12.75" customHeight="1" x14ac:dyDescent="0.2">
      <c r="A188" s="11">
        <v>167</v>
      </c>
      <c r="B188" s="5" t="s">
        <v>245</v>
      </c>
      <c r="C188" s="11">
        <v>48491501393</v>
      </c>
      <c r="D188" s="5" t="s">
        <v>246</v>
      </c>
      <c r="E188" s="8">
        <f>1000+3000+4000</f>
        <v>8000</v>
      </c>
      <c r="F188" s="5" t="s">
        <v>10</v>
      </c>
      <c r="G188" s="2" t="s">
        <v>23</v>
      </c>
    </row>
    <row r="189" spans="1:7" ht="12.75" customHeight="1" x14ac:dyDescent="0.2">
      <c r="A189" s="11">
        <v>168</v>
      </c>
      <c r="B189" s="5" t="s">
        <v>159</v>
      </c>
      <c r="C189" s="11">
        <v>64862538713</v>
      </c>
      <c r="D189" s="5" t="s">
        <v>217</v>
      </c>
      <c r="E189" s="8">
        <f>260.5+843.75+712.5</f>
        <v>1816.75</v>
      </c>
      <c r="F189" s="5" t="s">
        <v>10</v>
      </c>
      <c r="G189" s="2" t="s">
        <v>23</v>
      </c>
    </row>
    <row r="190" spans="1:7" ht="12.75" customHeight="1" x14ac:dyDescent="0.2">
      <c r="A190" s="11">
        <v>169</v>
      </c>
      <c r="B190" s="5" t="s">
        <v>376</v>
      </c>
      <c r="C190" s="11">
        <v>26901839603</v>
      </c>
      <c r="D190" s="5" t="s">
        <v>377</v>
      </c>
      <c r="E190" s="8">
        <f>1201.71+1458.46</f>
        <v>2660.17</v>
      </c>
      <c r="F190" s="5" t="s">
        <v>10</v>
      </c>
      <c r="G190" s="2" t="s">
        <v>23</v>
      </c>
    </row>
    <row r="191" spans="1:7" ht="12.75" customHeight="1" x14ac:dyDescent="0.2">
      <c r="A191" s="11">
        <v>170</v>
      </c>
      <c r="B191" s="5" t="s">
        <v>557</v>
      </c>
      <c r="C191" s="11">
        <v>75725588375</v>
      </c>
      <c r="D191" s="5" t="s">
        <v>558</v>
      </c>
      <c r="E191" s="8">
        <v>1000</v>
      </c>
      <c r="F191" s="5" t="s">
        <v>10</v>
      </c>
      <c r="G191" s="2" t="s">
        <v>23</v>
      </c>
    </row>
    <row r="192" spans="1:7" ht="12.75" customHeight="1" x14ac:dyDescent="0.2">
      <c r="A192" s="11">
        <v>171</v>
      </c>
      <c r="B192" s="5" t="s">
        <v>411</v>
      </c>
      <c r="C192" s="11">
        <v>110752628</v>
      </c>
      <c r="D192" s="5" t="s">
        <v>414</v>
      </c>
      <c r="E192" s="8">
        <f>264.58+466.56+2000+1000+113.08</f>
        <v>3844.22</v>
      </c>
      <c r="F192" s="5" t="s">
        <v>10</v>
      </c>
      <c r="G192" s="2" t="s">
        <v>23</v>
      </c>
    </row>
    <row r="193" spans="1:7" ht="12.75" customHeight="1" x14ac:dyDescent="0.2">
      <c r="A193" s="11">
        <v>172</v>
      </c>
      <c r="B193" s="23" t="s">
        <v>191</v>
      </c>
      <c r="C193" s="24">
        <v>34421776805</v>
      </c>
      <c r="D193" s="23" t="s">
        <v>240</v>
      </c>
      <c r="E193" s="8">
        <f>1842.89+550.94</f>
        <v>2393.83</v>
      </c>
      <c r="F193" s="5" t="s">
        <v>10</v>
      </c>
      <c r="G193" s="2" t="s">
        <v>192</v>
      </c>
    </row>
    <row r="194" spans="1:7" ht="12.75" customHeight="1" x14ac:dyDescent="0.2">
      <c r="A194" s="11">
        <v>173</v>
      </c>
      <c r="B194" s="5" t="s">
        <v>174</v>
      </c>
      <c r="C194" s="11">
        <v>79517545745</v>
      </c>
      <c r="D194" s="5" t="s">
        <v>227</v>
      </c>
      <c r="E194" s="8">
        <v>121.14</v>
      </c>
      <c r="F194" s="5" t="s">
        <v>10</v>
      </c>
      <c r="G194" s="2" t="s">
        <v>176</v>
      </c>
    </row>
    <row r="195" spans="1:7" ht="12.75" customHeight="1" x14ac:dyDescent="0.2">
      <c r="A195" s="11">
        <v>174</v>
      </c>
      <c r="B195" s="5" t="s">
        <v>302</v>
      </c>
      <c r="C195" s="11" t="s">
        <v>303</v>
      </c>
      <c r="D195" s="5" t="s">
        <v>304</v>
      </c>
      <c r="E195" s="8">
        <f>2000+1998.7+8000+7382.05+2000+1007.67</f>
        <v>22388.42</v>
      </c>
      <c r="F195" s="5" t="s">
        <v>10</v>
      </c>
      <c r="G195" s="2" t="s">
        <v>23</v>
      </c>
    </row>
    <row r="196" spans="1:7" ht="12.75" customHeight="1" x14ac:dyDescent="0.2">
      <c r="A196" s="11">
        <v>175</v>
      </c>
      <c r="B196" s="5" t="s">
        <v>1488</v>
      </c>
      <c r="C196" s="12" t="s">
        <v>1489</v>
      </c>
      <c r="D196" s="5" t="s">
        <v>1490</v>
      </c>
      <c r="E196" s="8">
        <v>140.68</v>
      </c>
      <c r="F196" s="5" t="s">
        <v>10</v>
      </c>
      <c r="G196" s="2" t="s">
        <v>23</v>
      </c>
    </row>
    <row r="197" spans="1:7" ht="12.75" customHeight="1" x14ac:dyDescent="0.2">
      <c r="A197" s="11">
        <v>176</v>
      </c>
      <c r="B197" s="5" t="s">
        <v>424</v>
      </c>
      <c r="C197" s="11">
        <v>40480660548</v>
      </c>
      <c r="D197" s="5" t="s">
        <v>425</v>
      </c>
      <c r="E197" s="8">
        <v>1242.5</v>
      </c>
      <c r="F197" s="5" t="s">
        <v>10</v>
      </c>
      <c r="G197" s="2" t="s">
        <v>23</v>
      </c>
    </row>
    <row r="198" spans="1:7" ht="12.75" customHeight="1" x14ac:dyDescent="0.2">
      <c r="A198" s="11">
        <v>177</v>
      </c>
      <c r="B198" s="5" t="s">
        <v>790</v>
      </c>
      <c r="C198" s="12" t="s">
        <v>793</v>
      </c>
      <c r="D198" s="5" t="s">
        <v>792</v>
      </c>
      <c r="E198" s="8">
        <f>240.01+100.01+150</f>
        <v>490.02</v>
      </c>
      <c r="F198" s="5" t="s">
        <v>10</v>
      </c>
      <c r="G198" s="2" t="s">
        <v>791</v>
      </c>
    </row>
    <row r="199" spans="1:7" ht="12.75" customHeight="1" x14ac:dyDescent="0.2">
      <c r="A199" s="11">
        <v>178</v>
      </c>
      <c r="B199" s="5" t="s">
        <v>451</v>
      </c>
      <c r="C199" s="11" t="s">
        <v>452</v>
      </c>
      <c r="D199" s="5" t="s">
        <v>453</v>
      </c>
      <c r="E199" s="8">
        <f>1843.42+155.2+2027.48+1740.48+1000</f>
        <v>6766.58</v>
      </c>
      <c r="F199" s="5" t="s">
        <v>10</v>
      </c>
      <c r="G199" s="2" t="s">
        <v>23</v>
      </c>
    </row>
    <row r="200" spans="1:7" ht="12.75" customHeight="1" x14ac:dyDescent="0.2">
      <c r="A200" s="11">
        <v>179</v>
      </c>
      <c r="B200" s="5" t="s">
        <v>732</v>
      </c>
      <c r="C200" s="11">
        <v>80972836106</v>
      </c>
      <c r="D200" s="5" t="s">
        <v>733</v>
      </c>
      <c r="E200" s="8">
        <f>145.5+146.6+218.6+158.9+218.4</f>
        <v>888</v>
      </c>
      <c r="F200" s="5" t="s">
        <v>10</v>
      </c>
      <c r="G200" s="2" t="s">
        <v>173</v>
      </c>
    </row>
    <row r="201" spans="1:7" x14ac:dyDescent="0.2">
      <c r="A201" s="11">
        <v>180</v>
      </c>
      <c r="B201" s="5" t="s">
        <v>1266</v>
      </c>
      <c r="C201" s="11">
        <v>80805858278</v>
      </c>
      <c r="D201" s="5" t="s">
        <v>253</v>
      </c>
      <c r="E201" s="8">
        <v>73.819999999999993</v>
      </c>
      <c r="F201" s="5" t="s">
        <v>10</v>
      </c>
      <c r="G201" s="2" t="s">
        <v>64</v>
      </c>
    </row>
    <row r="202" spans="1:7" x14ac:dyDescent="0.2">
      <c r="A202" s="11">
        <v>181</v>
      </c>
      <c r="B202" s="5" t="s">
        <v>1534</v>
      </c>
      <c r="C202" s="11">
        <v>70914161709</v>
      </c>
      <c r="D202" s="5" t="s">
        <v>1535</v>
      </c>
      <c r="E202" s="8">
        <v>400</v>
      </c>
      <c r="F202" s="5" t="s">
        <v>10</v>
      </c>
      <c r="G202" s="2" t="s">
        <v>287</v>
      </c>
    </row>
    <row r="203" spans="1:7" x14ac:dyDescent="0.2">
      <c r="A203" s="11">
        <v>182</v>
      </c>
      <c r="B203" s="5" t="s">
        <v>1536</v>
      </c>
      <c r="C203" s="11">
        <v>58421021869</v>
      </c>
      <c r="D203" s="5" t="s">
        <v>1537</v>
      </c>
      <c r="E203" s="8">
        <f>519.75+2160.04+2079</f>
        <v>4758.79</v>
      </c>
      <c r="F203" s="5" t="s">
        <v>10</v>
      </c>
      <c r="G203" s="2" t="s">
        <v>23</v>
      </c>
    </row>
    <row r="204" spans="1:7" x14ac:dyDescent="0.2">
      <c r="A204" s="11">
        <v>183</v>
      </c>
      <c r="B204" s="5" t="s">
        <v>580</v>
      </c>
      <c r="C204" s="11">
        <v>88745489373</v>
      </c>
      <c r="D204" s="5" t="s">
        <v>603</v>
      </c>
      <c r="E204" s="8">
        <f>5338.64</f>
        <v>5338.64</v>
      </c>
      <c r="F204" s="5" t="s">
        <v>10</v>
      </c>
      <c r="G204" s="2" t="s">
        <v>23</v>
      </c>
    </row>
    <row r="205" spans="1:7" x14ac:dyDescent="0.2">
      <c r="A205" s="11">
        <v>184</v>
      </c>
      <c r="B205" s="5" t="s">
        <v>403</v>
      </c>
      <c r="C205" s="11">
        <v>95325472047</v>
      </c>
      <c r="D205" s="5" t="s">
        <v>404</v>
      </c>
      <c r="E205" s="8">
        <f>637.03</f>
        <v>637.03</v>
      </c>
      <c r="F205" s="5" t="s">
        <v>10</v>
      </c>
      <c r="G205" s="2" t="s">
        <v>23</v>
      </c>
    </row>
    <row r="206" spans="1:7" x14ac:dyDescent="0.2">
      <c r="A206" s="11">
        <v>185</v>
      </c>
      <c r="B206" s="5" t="s">
        <v>511</v>
      </c>
      <c r="C206" s="11">
        <v>10765766984</v>
      </c>
      <c r="D206" s="5" t="s">
        <v>513</v>
      </c>
      <c r="E206" s="8">
        <f>2970+1188</f>
        <v>4158</v>
      </c>
      <c r="F206" s="5" t="s">
        <v>10</v>
      </c>
      <c r="G206" s="2" t="s">
        <v>23</v>
      </c>
    </row>
    <row r="207" spans="1:7" x14ac:dyDescent="0.2">
      <c r="A207" s="11">
        <v>186</v>
      </c>
      <c r="B207" s="5" t="s">
        <v>337</v>
      </c>
      <c r="C207" s="11">
        <v>97994010225</v>
      </c>
      <c r="D207" s="5" t="s">
        <v>338</v>
      </c>
      <c r="E207" s="8">
        <f>121.44+1331.44+156.63</f>
        <v>1609.5100000000002</v>
      </c>
      <c r="F207" s="5" t="s">
        <v>10</v>
      </c>
      <c r="G207" s="2" t="s">
        <v>23</v>
      </c>
    </row>
    <row r="208" spans="1:7" x14ac:dyDescent="0.2">
      <c r="A208" s="11">
        <v>187</v>
      </c>
      <c r="B208" s="23" t="s">
        <v>366</v>
      </c>
      <c r="C208" s="24">
        <v>66181750806</v>
      </c>
      <c r="D208" s="23" t="s">
        <v>251</v>
      </c>
      <c r="E208" s="8">
        <f>391.29+7011.6+62.5+424.26</f>
        <v>7889.6500000000005</v>
      </c>
      <c r="F208" s="5" t="s">
        <v>10</v>
      </c>
      <c r="G208" s="2" t="s">
        <v>367</v>
      </c>
    </row>
    <row r="209" spans="1:7" x14ac:dyDescent="0.2">
      <c r="A209" s="11">
        <v>188</v>
      </c>
      <c r="B209" s="5" t="s">
        <v>579</v>
      </c>
      <c r="C209" s="11">
        <v>54527841697</v>
      </c>
      <c r="D209" s="5" t="s">
        <v>602</v>
      </c>
      <c r="E209" s="8">
        <f>630+2786.8</f>
        <v>3416.8</v>
      </c>
      <c r="F209" s="5" t="s">
        <v>10</v>
      </c>
      <c r="G209" s="2" t="s">
        <v>23</v>
      </c>
    </row>
    <row r="210" spans="1:7" x14ac:dyDescent="0.2">
      <c r="A210" s="11">
        <v>189</v>
      </c>
      <c r="B210" s="5" t="s">
        <v>420</v>
      </c>
      <c r="C210" s="11">
        <v>57495737984</v>
      </c>
      <c r="D210" s="5" t="s">
        <v>421</v>
      </c>
      <c r="E210" s="8">
        <f>84.46+168.94</f>
        <v>253.39999999999998</v>
      </c>
      <c r="F210" s="5" t="s">
        <v>10</v>
      </c>
      <c r="G210" s="2" t="s">
        <v>287</v>
      </c>
    </row>
    <row r="211" spans="1:7" x14ac:dyDescent="0.2">
      <c r="A211" s="11">
        <v>190</v>
      </c>
      <c r="B211" s="5" t="s">
        <v>809</v>
      </c>
      <c r="C211" s="11" t="s">
        <v>811</v>
      </c>
      <c r="D211" s="5" t="s">
        <v>810</v>
      </c>
      <c r="E211" s="8">
        <f>3176.8+1050</f>
        <v>4226.8</v>
      </c>
      <c r="F211" s="5" t="s">
        <v>10</v>
      </c>
      <c r="G211" s="2" t="s">
        <v>23</v>
      </c>
    </row>
    <row r="212" spans="1:7" x14ac:dyDescent="0.2">
      <c r="A212" s="11">
        <v>191</v>
      </c>
      <c r="B212" s="5" t="s">
        <v>781</v>
      </c>
      <c r="C212" s="11" t="s">
        <v>783</v>
      </c>
      <c r="D212" s="5" t="s">
        <v>782</v>
      </c>
      <c r="E212" s="8">
        <v>967.45</v>
      </c>
      <c r="F212" s="5" t="s">
        <v>10</v>
      </c>
      <c r="G212" s="2" t="s">
        <v>23</v>
      </c>
    </row>
    <row r="213" spans="1:7" x14ac:dyDescent="0.2">
      <c r="A213" s="11">
        <v>192</v>
      </c>
      <c r="B213" s="5" t="s">
        <v>576</v>
      </c>
      <c r="C213" s="11">
        <v>77802735473</v>
      </c>
      <c r="D213" s="5" t="s">
        <v>595</v>
      </c>
      <c r="E213" s="8">
        <v>110.93</v>
      </c>
      <c r="F213" s="5" t="s">
        <v>10</v>
      </c>
      <c r="G213" s="2" t="s">
        <v>23</v>
      </c>
    </row>
    <row r="214" spans="1:7" x14ac:dyDescent="0.2">
      <c r="A214" s="11">
        <v>193</v>
      </c>
      <c r="B214" s="5" t="s">
        <v>1553</v>
      </c>
      <c r="C214" s="11">
        <v>89102192044</v>
      </c>
      <c r="D214" s="5" t="s">
        <v>1554</v>
      </c>
      <c r="E214" s="8">
        <v>350</v>
      </c>
      <c r="F214" s="5" t="s">
        <v>10</v>
      </c>
      <c r="G214" s="2" t="s">
        <v>481</v>
      </c>
    </row>
    <row r="215" spans="1:7" x14ac:dyDescent="0.2">
      <c r="A215" s="11">
        <v>194</v>
      </c>
      <c r="B215" s="5" t="s">
        <v>437</v>
      </c>
      <c r="C215" s="11">
        <v>76147579166</v>
      </c>
      <c r="D215" s="5" t="s">
        <v>438</v>
      </c>
      <c r="E215" s="8">
        <f>223.13+17.5+16</f>
        <v>256.63</v>
      </c>
      <c r="F215" s="5" t="s">
        <v>10</v>
      </c>
      <c r="G215" s="2" t="s">
        <v>23</v>
      </c>
    </row>
    <row r="216" spans="1:7" x14ac:dyDescent="0.2">
      <c r="A216" s="11">
        <v>195</v>
      </c>
      <c r="B216" s="5" t="s">
        <v>517</v>
      </c>
      <c r="C216" s="11">
        <v>79378753915</v>
      </c>
      <c r="D216" s="5" t="s">
        <v>518</v>
      </c>
      <c r="E216" s="8">
        <v>820</v>
      </c>
      <c r="F216" s="5" t="s">
        <v>10</v>
      </c>
      <c r="G216" s="2" t="s">
        <v>23</v>
      </c>
    </row>
    <row r="217" spans="1:7" x14ac:dyDescent="0.2">
      <c r="A217" s="11">
        <v>196</v>
      </c>
      <c r="B217" s="5" t="s">
        <v>593</v>
      </c>
      <c r="C217" s="11">
        <v>41261796409</v>
      </c>
      <c r="D217" s="5" t="s">
        <v>592</v>
      </c>
      <c r="E217" s="8">
        <v>1970</v>
      </c>
      <c r="F217" s="5" t="s">
        <v>10</v>
      </c>
      <c r="G217" s="2" t="s">
        <v>23</v>
      </c>
    </row>
    <row r="218" spans="1:7" x14ac:dyDescent="0.2">
      <c r="A218" s="11">
        <v>197</v>
      </c>
      <c r="B218" s="5" t="s">
        <v>428</v>
      </c>
      <c r="C218" s="11">
        <v>53785632625</v>
      </c>
      <c r="D218" s="5" t="s">
        <v>429</v>
      </c>
      <c r="E218" s="8">
        <f>203.2</f>
        <v>203.2</v>
      </c>
      <c r="F218" s="5" t="s">
        <v>10</v>
      </c>
      <c r="G218" s="2" t="s">
        <v>23</v>
      </c>
    </row>
    <row r="219" spans="1:7" x14ac:dyDescent="0.2">
      <c r="A219" s="11">
        <v>198</v>
      </c>
      <c r="B219" s="5" t="s">
        <v>471</v>
      </c>
      <c r="C219" s="11">
        <v>54661026138</v>
      </c>
      <c r="D219" s="5" t="s">
        <v>472</v>
      </c>
      <c r="E219" s="8">
        <f>81.3+446.31</f>
        <v>527.61</v>
      </c>
      <c r="F219" s="5" t="s">
        <v>10</v>
      </c>
      <c r="G219" s="2" t="s">
        <v>23</v>
      </c>
    </row>
    <row r="220" spans="1:7" x14ac:dyDescent="0.2">
      <c r="A220" s="11">
        <v>199</v>
      </c>
      <c r="B220" s="5" t="s">
        <v>550</v>
      </c>
      <c r="C220" s="11">
        <v>22911773746</v>
      </c>
      <c r="D220" s="5" t="s">
        <v>551</v>
      </c>
      <c r="E220" s="8">
        <f>1000+2385</f>
        <v>3385</v>
      </c>
      <c r="F220" s="5" t="s">
        <v>10</v>
      </c>
      <c r="G220" s="2" t="s">
        <v>23</v>
      </c>
    </row>
    <row r="221" spans="1:7" x14ac:dyDescent="0.2">
      <c r="A221" s="11">
        <v>200</v>
      </c>
      <c r="B221" s="5" t="s">
        <v>182</v>
      </c>
      <c r="C221" s="12" t="s">
        <v>234</v>
      </c>
      <c r="D221" s="5" t="s">
        <v>233</v>
      </c>
      <c r="E221" s="8">
        <v>631.61</v>
      </c>
      <c r="F221" s="5" t="s">
        <v>10</v>
      </c>
      <c r="G221" s="2" t="s">
        <v>23</v>
      </c>
    </row>
    <row r="222" spans="1:7" x14ac:dyDescent="0.2">
      <c r="A222" s="11">
        <v>201</v>
      </c>
      <c r="B222" s="5" t="s">
        <v>156</v>
      </c>
      <c r="C222" s="11">
        <v>51645411160</v>
      </c>
      <c r="D222" s="5" t="s">
        <v>215</v>
      </c>
      <c r="E222" s="8">
        <v>524.92999999999995</v>
      </c>
      <c r="F222" s="5" t="s">
        <v>10</v>
      </c>
      <c r="G222" s="2" t="s">
        <v>23</v>
      </c>
    </row>
    <row r="223" spans="1:7" ht="12.75" thickBot="1" x14ac:dyDescent="0.25">
      <c r="A223" s="11">
        <v>202</v>
      </c>
      <c r="B223" s="19" t="s">
        <v>355</v>
      </c>
      <c r="C223" s="36">
        <v>25577810707</v>
      </c>
      <c r="D223" s="19" t="s">
        <v>356</v>
      </c>
      <c r="E223" s="15">
        <f>447.11+191.62+691.21</f>
        <v>1329.94</v>
      </c>
      <c r="F223" s="19" t="s">
        <v>10</v>
      </c>
      <c r="G223" s="28" t="s">
        <v>23</v>
      </c>
    </row>
    <row r="224" spans="1:7" x14ac:dyDescent="0.2">
      <c r="A224" s="84">
        <v>203</v>
      </c>
      <c r="B224" s="82" t="s">
        <v>499</v>
      </c>
      <c r="C224" s="84">
        <v>50467974870</v>
      </c>
      <c r="D224" s="82" t="s">
        <v>500</v>
      </c>
      <c r="E224" s="16">
        <v>980</v>
      </c>
      <c r="F224" s="97" t="s">
        <v>10</v>
      </c>
      <c r="G224" s="31" t="s">
        <v>130</v>
      </c>
    </row>
    <row r="225" spans="1:7" ht="12.75" thickBot="1" x14ac:dyDescent="0.25">
      <c r="A225" s="85"/>
      <c r="B225" s="83"/>
      <c r="C225" s="85"/>
      <c r="D225" s="83"/>
      <c r="E225" s="18">
        <f>10.81+38.6</f>
        <v>49.410000000000004</v>
      </c>
      <c r="F225" s="98"/>
      <c r="G225" s="32" t="s">
        <v>23</v>
      </c>
    </row>
    <row r="226" spans="1:7" x14ac:dyDescent="0.2">
      <c r="A226" s="37">
        <v>204</v>
      </c>
      <c r="B226" s="33" t="s">
        <v>105</v>
      </c>
      <c r="C226" s="37">
        <v>80109305109</v>
      </c>
      <c r="D226" s="33" t="s">
        <v>106</v>
      </c>
      <c r="E226" s="17">
        <v>399.38</v>
      </c>
      <c r="F226" s="33" t="s">
        <v>10</v>
      </c>
      <c r="G226" s="34" t="s">
        <v>505</v>
      </c>
    </row>
    <row r="227" spans="1:7" x14ac:dyDescent="0.2">
      <c r="A227" s="11">
        <v>205</v>
      </c>
      <c r="B227" s="5" t="s">
        <v>1040</v>
      </c>
      <c r="C227" s="11">
        <v>20232388265</v>
      </c>
      <c r="D227" s="5" t="s">
        <v>1041</v>
      </c>
      <c r="E227" s="8">
        <v>1500</v>
      </c>
      <c r="F227" s="5" t="s">
        <v>10</v>
      </c>
      <c r="G227" s="2" t="s">
        <v>260</v>
      </c>
    </row>
    <row r="228" spans="1:7" x14ac:dyDescent="0.2">
      <c r="A228" s="11">
        <v>206</v>
      </c>
      <c r="B228" s="5" t="s">
        <v>1271</v>
      </c>
      <c r="C228" s="11">
        <v>34323236274</v>
      </c>
      <c r="D228" s="5" t="s">
        <v>1272</v>
      </c>
      <c r="E228" s="8">
        <v>175</v>
      </c>
      <c r="F228" s="5" t="s">
        <v>10</v>
      </c>
      <c r="G228" s="2" t="s">
        <v>505</v>
      </c>
    </row>
    <row r="229" spans="1:7" x14ac:dyDescent="0.2">
      <c r="A229" s="11">
        <v>207</v>
      </c>
      <c r="B229" s="5" t="s">
        <v>468</v>
      </c>
      <c r="C229" s="11" t="s">
        <v>470</v>
      </c>
      <c r="D229" s="5" t="s">
        <v>469</v>
      </c>
      <c r="E229" s="8">
        <v>10914</v>
      </c>
      <c r="F229" s="5" t="s">
        <v>10</v>
      </c>
      <c r="G229" s="2" t="s">
        <v>23</v>
      </c>
    </row>
    <row r="230" spans="1:7" x14ac:dyDescent="0.2">
      <c r="A230" s="11">
        <v>208</v>
      </c>
      <c r="B230" s="5" t="s">
        <v>369</v>
      </c>
      <c r="C230" s="11" t="s">
        <v>371</v>
      </c>
      <c r="D230" s="5" t="s">
        <v>370</v>
      </c>
      <c r="E230" s="8">
        <v>5276.36</v>
      </c>
      <c r="F230" s="5" t="s">
        <v>10</v>
      </c>
      <c r="G230" s="2" t="s">
        <v>23</v>
      </c>
    </row>
    <row r="231" spans="1:7" x14ac:dyDescent="0.2">
      <c r="A231" s="11">
        <v>209</v>
      </c>
      <c r="B231" s="5" t="s">
        <v>590</v>
      </c>
      <c r="C231" s="11">
        <v>38867318377</v>
      </c>
      <c r="D231" s="5" t="s">
        <v>591</v>
      </c>
      <c r="E231" s="8">
        <v>109.5</v>
      </c>
      <c r="F231" s="5" t="s">
        <v>10</v>
      </c>
      <c r="G231" s="2" t="s">
        <v>23</v>
      </c>
    </row>
    <row r="232" spans="1:7" x14ac:dyDescent="0.2">
      <c r="A232" s="11">
        <v>210</v>
      </c>
      <c r="B232" s="5" t="s">
        <v>276</v>
      </c>
      <c r="C232" s="11">
        <v>64546066176</v>
      </c>
      <c r="D232" s="5" t="s">
        <v>277</v>
      </c>
      <c r="E232" s="8">
        <f>4.27+1291.16</f>
        <v>1295.43</v>
      </c>
      <c r="F232" s="5" t="s">
        <v>10</v>
      </c>
      <c r="G232" s="2" t="s">
        <v>23</v>
      </c>
    </row>
    <row r="233" spans="1:7" x14ac:dyDescent="0.2">
      <c r="A233" s="11">
        <v>211</v>
      </c>
      <c r="B233" s="5" t="s">
        <v>512</v>
      </c>
      <c r="C233" s="11">
        <v>44284514731</v>
      </c>
      <c r="D233" s="5" t="s">
        <v>514</v>
      </c>
      <c r="E233" s="8">
        <f>10257.58+4034.48</f>
        <v>14292.06</v>
      </c>
      <c r="F233" s="5" t="s">
        <v>10</v>
      </c>
      <c r="G233" s="2" t="s">
        <v>23</v>
      </c>
    </row>
    <row r="234" spans="1:7" x14ac:dyDescent="0.2">
      <c r="A234" s="11">
        <v>212</v>
      </c>
      <c r="B234" s="5" t="s">
        <v>738</v>
      </c>
      <c r="C234" s="11">
        <v>77170927797</v>
      </c>
      <c r="D234" s="5" t="s">
        <v>739</v>
      </c>
      <c r="E234" s="8">
        <f>16.75+97.65</f>
        <v>114.4</v>
      </c>
      <c r="F234" s="5" t="s">
        <v>10</v>
      </c>
      <c r="G234" s="2" t="s">
        <v>23</v>
      </c>
    </row>
    <row r="235" spans="1:7" x14ac:dyDescent="0.2">
      <c r="A235" s="11">
        <v>213</v>
      </c>
      <c r="B235" s="5" t="s">
        <v>691</v>
      </c>
      <c r="C235" s="11">
        <v>31826907316</v>
      </c>
      <c r="D235" s="5" t="s">
        <v>692</v>
      </c>
      <c r="E235" s="8">
        <f>13045.43+50000</f>
        <v>63045.43</v>
      </c>
      <c r="F235" s="5" t="s">
        <v>10</v>
      </c>
      <c r="G235" s="2" t="s">
        <v>23</v>
      </c>
    </row>
    <row r="236" spans="1:7" x14ac:dyDescent="0.2">
      <c r="A236" s="11">
        <v>214</v>
      </c>
      <c r="B236" s="5" t="s">
        <v>1207</v>
      </c>
      <c r="C236" s="11" t="s">
        <v>1208</v>
      </c>
      <c r="D236" s="5" t="s">
        <v>1567</v>
      </c>
      <c r="E236" s="8">
        <v>524.4</v>
      </c>
      <c r="F236" s="5" t="s">
        <v>10</v>
      </c>
      <c r="G236" s="2" t="s">
        <v>23</v>
      </c>
    </row>
    <row r="237" spans="1:7" x14ac:dyDescent="0.2">
      <c r="A237" s="11">
        <v>215</v>
      </c>
      <c r="B237" s="5" t="s">
        <v>483</v>
      </c>
      <c r="C237" s="12" t="s">
        <v>485</v>
      </c>
      <c r="D237" s="5" t="s">
        <v>484</v>
      </c>
      <c r="E237" s="8">
        <f>1084.98+1044.9</f>
        <v>2129.88</v>
      </c>
      <c r="F237" s="5" t="s">
        <v>10</v>
      </c>
      <c r="G237" s="2" t="s">
        <v>481</v>
      </c>
    </row>
    <row r="238" spans="1:7" x14ac:dyDescent="0.2">
      <c r="A238" s="11">
        <v>216</v>
      </c>
      <c r="B238" s="5" t="s">
        <v>155</v>
      </c>
      <c r="C238" s="11">
        <v>55326209639</v>
      </c>
      <c r="D238" s="5" t="s">
        <v>214</v>
      </c>
      <c r="E238" s="8">
        <v>487.88</v>
      </c>
      <c r="F238" s="5" t="s">
        <v>10</v>
      </c>
      <c r="G238" s="2" t="s">
        <v>23</v>
      </c>
    </row>
    <row r="239" spans="1:7" x14ac:dyDescent="0.2">
      <c r="A239" s="11">
        <v>217</v>
      </c>
      <c r="B239" s="5" t="s">
        <v>1347</v>
      </c>
      <c r="C239" s="12" t="s">
        <v>1348</v>
      </c>
      <c r="D239" s="5" t="s">
        <v>1349</v>
      </c>
      <c r="E239" s="8">
        <v>2136.25</v>
      </c>
      <c r="F239" s="5" t="s">
        <v>10</v>
      </c>
      <c r="G239" s="2" t="s">
        <v>23</v>
      </c>
    </row>
    <row r="240" spans="1:7" x14ac:dyDescent="0.2">
      <c r="A240" s="11">
        <v>218</v>
      </c>
      <c r="B240" s="5" t="s">
        <v>1427</v>
      </c>
      <c r="C240" s="12" t="s">
        <v>1428</v>
      </c>
      <c r="D240" s="5" t="s">
        <v>1429</v>
      </c>
      <c r="E240" s="8">
        <v>9636</v>
      </c>
      <c r="F240" s="5" t="s">
        <v>10</v>
      </c>
      <c r="G240" s="2" t="s">
        <v>23</v>
      </c>
    </row>
    <row r="241" spans="1:7" x14ac:dyDescent="0.2">
      <c r="A241" s="11">
        <v>219</v>
      </c>
      <c r="B241" s="5" t="s">
        <v>259</v>
      </c>
      <c r="C241" s="11">
        <v>46289034988</v>
      </c>
      <c r="D241" s="5" t="s">
        <v>261</v>
      </c>
      <c r="E241" s="8">
        <f>2404.64+1035.3</f>
        <v>3439.9399999999996</v>
      </c>
      <c r="F241" s="5" t="s">
        <v>10</v>
      </c>
      <c r="G241" s="2" t="s">
        <v>260</v>
      </c>
    </row>
    <row r="242" spans="1:7" x14ac:dyDescent="0.2">
      <c r="A242" s="11">
        <v>220</v>
      </c>
      <c r="B242" s="5" t="s">
        <v>787</v>
      </c>
      <c r="C242" s="11" t="s">
        <v>788</v>
      </c>
      <c r="D242" s="5" t="s">
        <v>789</v>
      </c>
      <c r="E242" s="8">
        <v>31.63</v>
      </c>
      <c r="F242" s="5" t="s">
        <v>10</v>
      </c>
      <c r="G242" s="2" t="s">
        <v>23</v>
      </c>
    </row>
    <row r="243" spans="1:7" x14ac:dyDescent="0.2">
      <c r="A243" s="11">
        <v>221</v>
      </c>
      <c r="B243" s="5" t="s">
        <v>860</v>
      </c>
      <c r="C243" s="11">
        <v>44307963093</v>
      </c>
      <c r="D243" s="5" t="s">
        <v>861</v>
      </c>
      <c r="E243" s="8">
        <f>4555+2945</f>
        <v>7500</v>
      </c>
      <c r="F243" s="5" t="s">
        <v>10</v>
      </c>
      <c r="G243" s="2" t="s">
        <v>23</v>
      </c>
    </row>
    <row r="244" spans="1:7" x14ac:dyDescent="0.2">
      <c r="A244" s="11">
        <v>222</v>
      </c>
      <c r="B244" s="33" t="s">
        <v>862</v>
      </c>
      <c r="C244" s="42" t="s">
        <v>863</v>
      </c>
      <c r="D244" s="33" t="s">
        <v>864</v>
      </c>
      <c r="E244" s="17">
        <v>1011</v>
      </c>
      <c r="F244" s="33" t="s">
        <v>10</v>
      </c>
      <c r="G244" s="34" t="s">
        <v>192</v>
      </c>
    </row>
    <row r="245" spans="1:7" x14ac:dyDescent="0.2">
      <c r="A245" s="11">
        <v>223</v>
      </c>
      <c r="B245" s="5" t="s">
        <v>1048</v>
      </c>
      <c r="C245" s="11">
        <v>51925436571</v>
      </c>
      <c r="D245" s="5" t="s">
        <v>1049</v>
      </c>
      <c r="E245" s="8">
        <v>374.95</v>
      </c>
      <c r="F245" s="5" t="s">
        <v>10</v>
      </c>
      <c r="G245" s="2" t="s">
        <v>23</v>
      </c>
    </row>
    <row r="246" spans="1:7" x14ac:dyDescent="0.2">
      <c r="A246" s="11">
        <v>224</v>
      </c>
      <c r="B246" s="5" t="s">
        <v>1292</v>
      </c>
      <c r="C246" s="12" t="s">
        <v>1293</v>
      </c>
      <c r="D246" s="5" t="s">
        <v>1294</v>
      </c>
      <c r="E246" s="8">
        <v>300</v>
      </c>
      <c r="F246" s="5" t="s">
        <v>10</v>
      </c>
      <c r="G246" s="2" t="s">
        <v>1295</v>
      </c>
    </row>
    <row r="247" spans="1:7" x14ac:dyDescent="0.2">
      <c r="A247" s="11">
        <v>225</v>
      </c>
      <c r="B247" s="5" t="s">
        <v>1307</v>
      </c>
      <c r="C247" s="12" t="s">
        <v>1308</v>
      </c>
      <c r="D247" s="5" t="s">
        <v>1309</v>
      </c>
      <c r="E247" s="8">
        <v>900</v>
      </c>
      <c r="F247" s="5" t="s">
        <v>10</v>
      </c>
      <c r="G247" s="2" t="s">
        <v>505</v>
      </c>
    </row>
    <row r="248" spans="1:7" x14ac:dyDescent="0.2">
      <c r="A248" s="11">
        <v>226</v>
      </c>
      <c r="B248" s="5" t="s">
        <v>1568</v>
      </c>
      <c r="C248" s="12">
        <v>50763639153</v>
      </c>
      <c r="D248" s="5" t="s">
        <v>1569</v>
      </c>
      <c r="E248" s="8">
        <v>6700</v>
      </c>
      <c r="F248" s="5" t="s">
        <v>10</v>
      </c>
      <c r="G248" s="2" t="s">
        <v>1570</v>
      </c>
    </row>
    <row r="249" spans="1:7" x14ac:dyDescent="0.2">
      <c r="A249" s="11">
        <v>227</v>
      </c>
      <c r="B249" s="5" t="s">
        <v>1571</v>
      </c>
      <c r="C249" s="12">
        <v>22131573579</v>
      </c>
      <c r="D249" s="5" t="s">
        <v>1572</v>
      </c>
      <c r="E249" s="8">
        <v>500</v>
      </c>
      <c r="F249" s="5" t="s">
        <v>10</v>
      </c>
      <c r="G249" s="2" t="s">
        <v>1570</v>
      </c>
    </row>
    <row r="250" spans="1:7" x14ac:dyDescent="0.2">
      <c r="A250" s="11">
        <v>228</v>
      </c>
      <c r="B250" s="5" t="s">
        <v>1263</v>
      </c>
      <c r="C250" s="11">
        <v>99944170669</v>
      </c>
      <c r="D250" s="5" t="s">
        <v>1264</v>
      </c>
      <c r="E250" s="8">
        <v>160</v>
      </c>
      <c r="F250" s="5" t="s">
        <v>10</v>
      </c>
      <c r="G250" s="2" t="s">
        <v>505</v>
      </c>
    </row>
    <row r="251" spans="1:7" x14ac:dyDescent="0.2">
      <c r="A251" s="11">
        <v>229</v>
      </c>
      <c r="B251" s="5" t="s">
        <v>1573</v>
      </c>
      <c r="C251" s="11">
        <v>13158234953</v>
      </c>
      <c r="D251" s="5" t="s">
        <v>1118</v>
      </c>
      <c r="E251" s="8">
        <v>45.98</v>
      </c>
      <c r="F251" s="5" t="s">
        <v>10</v>
      </c>
      <c r="G251" s="2" t="s">
        <v>23</v>
      </c>
    </row>
    <row r="252" spans="1:7" x14ac:dyDescent="0.2">
      <c r="A252" s="11">
        <v>230</v>
      </c>
      <c r="B252" s="5" t="s">
        <v>1574</v>
      </c>
      <c r="C252" s="11">
        <v>20043484292</v>
      </c>
      <c r="D252" s="5" t="s">
        <v>1575</v>
      </c>
      <c r="E252" s="8">
        <v>23</v>
      </c>
      <c r="F252" s="5" t="s">
        <v>10</v>
      </c>
      <c r="G252" s="2" t="s">
        <v>330</v>
      </c>
    </row>
    <row r="253" spans="1:7" x14ac:dyDescent="0.2">
      <c r="A253" s="11">
        <v>231</v>
      </c>
      <c r="B253" s="5" t="s">
        <v>1576</v>
      </c>
      <c r="C253" s="12" t="s">
        <v>1577</v>
      </c>
      <c r="D253" s="5" t="s">
        <v>1578</v>
      </c>
      <c r="E253" s="8">
        <v>1840</v>
      </c>
      <c r="F253" s="5" t="s">
        <v>10</v>
      </c>
      <c r="G253" s="2" t="s">
        <v>23</v>
      </c>
    </row>
    <row r="254" spans="1:7" x14ac:dyDescent="0.2">
      <c r="A254" s="11">
        <v>232</v>
      </c>
      <c r="B254" s="5" t="s">
        <v>1579</v>
      </c>
      <c r="C254" s="12">
        <v>32874587842</v>
      </c>
      <c r="D254" s="5" t="s">
        <v>1580</v>
      </c>
      <c r="E254" s="8">
        <f>556.77+185.59</f>
        <v>742.36</v>
      </c>
      <c r="F254" s="5" t="s">
        <v>10</v>
      </c>
      <c r="G254" s="2" t="s">
        <v>287</v>
      </c>
    </row>
    <row r="255" spans="1:7" x14ac:dyDescent="0.2">
      <c r="A255" s="11">
        <v>233</v>
      </c>
      <c r="B255" s="5" t="s">
        <v>1581</v>
      </c>
      <c r="C255" s="12" t="s">
        <v>1582</v>
      </c>
      <c r="D255" s="5" t="s">
        <v>1583</v>
      </c>
      <c r="E255" s="8">
        <v>1560</v>
      </c>
      <c r="F255" s="5" t="s">
        <v>10</v>
      </c>
      <c r="G255" s="2" t="s">
        <v>23</v>
      </c>
    </row>
    <row r="256" spans="1:7" x14ac:dyDescent="0.2">
      <c r="A256" s="11">
        <v>234</v>
      </c>
      <c r="B256" s="5" t="s">
        <v>1584</v>
      </c>
      <c r="C256" s="12" t="s">
        <v>1585</v>
      </c>
      <c r="D256" s="5" t="s">
        <v>1586</v>
      </c>
      <c r="E256" s="8">
        <v>4029.56</v>
      </c>
      <c r="F256" s="5" t="s">
        <v>10</v>
      </c>
      <c r="G256" s="2" t="s">
        <v>23</v>
      </c>
    </row>
    <row r="257" spans="1:7" x14ac:dyDescent="0.2">
      <c r="A257" s="11">
        <v>235</v>
      </c>
      <c r="B257" s="5" t="s">
        <v>1587</v>
      </c>
      <c r="C257" s="12">
        <v>17390008295</v>
      </c>
      <c r="D257" s="5" t="s">
        <v>1588</v>
      </c>
      <c r="E257" s="8">
        <v>623</v>
      </c>
      <c r="F257" s="5" t="s">
        <v>10</v>
      </c>
      <c r="G257" s="2" t="s">
        <v>147</v>
      </c>
    </row>
    <row r="258" spans="1:7" x14ac:dyDescent="0.2">
      <c r="A258" s="11">
        <v>236</v>
      </c>
      <c r="B258" s="5" t="s">
        <v>1589</v>
      </c>
      <c r="C258" s="12">
        <v>35213733685</v>
      </c>
      <c r="D258" s="5" t="s">
        <v>1590</v>
      </c>
      <c r="E258" s="8">
        <v>219.41</v>
      </c>
      <c r="F258" s="5" t="s">
        <v>10</v>
      </c>
      <c r="G258" s="2" t="s">
        <v>23</v>
      </c>
    </row>
    <row r="259" spans="1:7" x14ac:dyDescent="0.2">
      <c r="A259" s="11">
        <v>237</v>
      </c>
      <c r="B259" s="5" t="s">
        <v>1591</v>
      </c>
      <c r="C259" s="12">
        <v>28932279309</v>
      </c>
      <c r="D259" s="5" t="s">
        <v>1592</v>
      </c>
      <c r="E259" s="8">
        <v>78.150000000000006</v>
      </c>
      <c r="F259" s="5" t="s">
        <v>10</v>
      </c>
      <c r="G259" s="2" t="s">
        <v>23</v>
      </c>
    </row>
    <row r="260" spans="1:7" x14ac:dyDescent="0.2">
      <c r="A260" s="11">
        <v>238</v>
      </c>
      <c r="B260" s="5" t="s">
        <v>1593</v>
      </c>
      <c r="C260" s="12">
        <v>95784226431</v>
      </c>
      <c r="D260" s="5" t="s">
        <v>1594</v>
      </c>
      <c r="E260" s="8">
        <v>235</v>
      </c>
      <c r="F260" s="5" t="s">
        <v>10</v>
      </c>
      <c r="G260" s="2" t="s">
        <v>1595</v>
      </c>
    </row>
    <row r="261" spans="1:7" x14ac:dyDescent="0.2">
      <c r="A261" s="11">
        <v>239</v>
      </c>
      <c r="B261" s="5" t="s">
        <v>1596</v>
      </c>
      <c r="C261" s="12">
        <v>85828625994</v>
      </c>
      <c r="D261" s="5" t="s">
        <v>458</v>
      </c>
      <c r="E261" s="8">
        <v>8.42</v>
      </c>
      <c r="F261" s="5" t="s">
        <v>10</v>
      </c>
      <c r="G261" s="2" t="s">
        <v>449</v>
      </c>
    </row>
    <row r="262" spans="1:7" x14ac:dyDescent="0.2">
      <c r="A262" s="11">
        <v>240</v>
      </c>
      <c r="B262" s="5" t="s">
        <v>1597</v>
      </c>
      <c r="C262" s="11" t="s">
        <v>1598</v>
      </c>
      <c r="D262" s="5" t="s">
        <v>1599</v>
      </c>
      <c r="E262" s="8">
        <v>478</v>
      </c>
      <c r="F262" s="5" t="s">
        <v>10</v>
      </c>
      <c r="G262" s="2" t="s">
        <v>23</v>
      </c>
    </row>
    <row r="263" spans="1:7" x14ac:dyDescent="0.2">
      <c r="A263" s="11">
        <v>241</v>
      </c>
      <c r="B263" s="5" t="s">
        <v>1600</v>
      </c>
      <c r="C263" s="11" t="s">
        <v>1601</v>
      </c>
      <c r="D263" s="5" t="s">
        <v>1602</v>
      </c>
      <c r="E263" s="8">
        <v>8700</v>
      </c>
      <c r="F263" s="5" t="s">
        <v>10</v>
      </c>
      <c r="G263" s="2" t="s">
        <v>23</v>
      </c>
    </row>
    <row r="264" spans="1:7" x14ac:dyDescent="0.2">
      <c r="A264" s="11">
        <v>242</v>
      </c>
      <c r="B264" s="5" t="s">
        <v>504</v>
      </c>
      <c r="C264" s="11">
        <v>75297532041</v>
      </c>
      <c r="D264" s="5" t="s">
        <v>506</v>
      </c>
      <c r="E264" s="8">
        <v>645.08000000000004</v>
      </c>
      <c r="F264" s="5" t="s">
        <v>10</v>
      </c>
      <c r="G264" s="2" t="s">
        <v>505</v>
      </c>
    </row>
    <row r="265" spans="1:7" x14ac:dyDescent="0.2">
      <c r="A265" s="11">
        <v>243</v>
      </c>
      <c r="B265" s="5" t="s">
        <v>150</v>
      </c>
      <c r="C265" s="11">
        <v>19422090987</v>
      </c>
      <c r="D265" s="5" t="s">
        <v>210</v>
      </c>
      <c r="E265" s="8">
        <f>183+100</f>
        <v>283</v>
      </c>
      <c r="F265" s="5" t="s">
        <v>10</v>
      </c>
      <c r="G265" s="2" t="s">
        <v>23</v>
      </c>
    </row>
    <row r="266" spans="1:7" x14ac:dyDescent="0.2">
      <c r="A266" s="11">
        <v>244</v>
      </c>
      <c r="B266" s="5" t="s">
        <v>473</v>
      </c>
      <c r="C266" s="11">
        <v>92839607312</v>
      </c>
      <c r="D266" s="5" t="s">
        <v>474</v>
      </c>
      <c r="E266" s="8">
        <f>162.38+1327.26</f>
        <v>1489.6399999999999</v>
      </c>
      <c r="F266" s="5" t="s">
        <v>10</v>
      </c>
      <c r="G266" s="2" t="s">
        <v>23</v>
      </c>
    </row>
    <row r="267" spans="1:7" x14ac:dyDescent="0.2">
      <c r="A267" s="11">
        <v>245</v>
      </c>
      <c r="B267" s="5" t="s">
        <v>114</v>
      </c>
      <c r="C267" s="12" t="s">
        <v>116</v>
      </c>
      <c r="D267" s="5" t="s">
        <v>117</v>
      </c>
      <c r="E267" s="8">
        <v>957.01</v>
      </c>
      <c r="F267" s="5" t="s">
        <v>10</v>
      </c>
      <c r="G267" s="2" t="s">
        <v>115</v>
      </c>
    </row>
    <row r="268" spans="1:7" x14ac:dyDescent="0.2">
      <c r="A268" s="11">
        <v>246</v>
      </c>
      <c r="B268" s="5" t="s">
        <v>249</v>
      </c>
      <c r="C268" s="11">
        <v>26004523816</v>
      </c>
      <c r="D268" s="5" t="s">
        <v>251</v>
      </c>
      <c r="E268" s="8">
        <f>1488.51+1500</f>
        <v>2988.51</v>
      </c>
      <c r="F268" s="5" t="s">
        <v>10</v>
      </c>
      <c r="G268" s="2" t="s">
        <v>23</v>
      </c>
    </row>
    <row r="269" spans="1:7" x14ac:dyDescent="0.2">
      <c r="A269" s="11">
        <v>247</v>
      </c>
      <c r="B269" s="5" t="s">
        <v>183</v>
      </c>
      <c r="C269" s="11">
        <v>95449332614</v>
      </c>
      <c r="D269" s="5" t="s">
        <v>235</v>
      </c>
      <c r="E269" s="8">
        <f>60+77.5</f>
        <v>137.5</v>
      </c>
      <c r="F269" s="5" t="s">
        <v>10</v>
      </c>
      <c r="G269" s="2" t="s">
        <v>23</v>
      </c>
    </row>
    <row r="270" spans="1:7" x14ac:dyDescent="0.2">
      <c r="A270" s="11">
        <v>248</v>
      </c>
      <c r="B270" s="5" t="s">
        <v>870</v>
      </c>
      <c r="C270" s="12">
        <v>34683682958</v>
      </c>
      <c r="D270" s="5" t="s">
        <v>545</v>
      </c>
      <c r="E270" s="8">
        <f>282.76+72.91</f>
        <v>355.66999999999996</v>
      </c>
      <c r="F270" s="5" t="s">
        <v>10</v>
      </c>
      <c r="G270" s="2" t="s">
        <v>330</v>
      </c>
    </row>
    <row r="271" spans="1:7" x14ac:dyDescent="0.2">
      <c r="A271" s="11">
        <v>249</v>
      </c>
      <c r="B271" s="5" t="s">
        <v>839</v>
      </c>
      <c r="C271" s="11">
        <v>27740284011</v>
      </c>
      <c r="D271" s="5" t="s">
        <v>840</v>
      </c>
      <c r="E271" s="8">
        <v>41.25</v>
      </c>
      <c r="F271" s="5" t="s">
        <v>10</v>
      </c>
      <c r="G271" s="2" t="s">
        <v>23</v>
      </c>
    </row>
    <row r="272" spans="1:7" x14ac:dyDescent="0.2">
      <c r="A272" s="11">
        <v>250</v>
      </c>
      <c r="B272" s="5" t="s">
        <v>962</v>
      </c>
      <c r="C272" s="12">
        <v>39654056116</v>
      </c>
      <c r="D272" s="5" t="s">
        <v>963</v>
      </c>
      <c r="E272" s="8">
        <v>230</v>
      </c>
      <c r="F272" s="5" t="s">
        <v>10</v>
      </c>
      <c r="G272" s="2" t="s">
        <v>176</v>
      </c>
    </row>
    <row r="273" spans="1:7" x14ac:dyDescent="0.2">
      <c r="A273" s="11">
        <v>251</v>
      </c>
      <c r="B273" s="5" t="s">
        <v>1117</v>
      </c>
      <c r="C273" s="11">
        <v>64634216475</v>
      </c>
      <c r="D273" s="5" t="s">
        <v>1118</v>
      </c>
      <c r="E273" s="8">
        <v>141.75</v>
      </c>
      <c r="F273" s="5" t="s">
        <v>10</v>
      </c>
      <c r="G273" s="2" t="s">
        <v>23</v>
      </c>
    </row>
    <row r="274" spans="1:7" x14ac:dyDescent="0.2">
      <c r="A274" s="11">
        <v>252</v>
      </c>
      <c r="B274" s="5" t="s">
        <v>1127</v>
      </c>
      <c r="C274" s="11" t="s">
        <v>1128</v>
      </c>
      <c r="D274" s="5" t="s">
        <v>1129</v>
      </c>
      <c r="E274" s="8">
        <v>181.5</v>
      </c>
      <c r="F274" s="5" t="s">
        <v>10</v>
      </c>
      <c r="G274" s="2" t="s">
        <v>23</v>
      </c>
    </row>
    <row r="275" spans="1:7" x14ac:dyDescent="0.2">
      <c r="A275" s="11">
        <v>253</v>
      </c>
      <c r="B275" s="5" t="s">
        <v>713</v>
      </c>
      <c r="C275" s="11" t="s">
        <v>715</v>
      </c>
      <c r="D275" s="5" t="s">
        <v>714</v>
      </c>
      <c r="E275" s="8">
        <v>745.65</v>
      </c>
      <c r="F275" s="5" t="s">
        <v>10</v>
      </c>
      <c r="G275" s="2" t="s">
        <v>23</v>
      </c>
    </row>
    <row r="276" spans="1:7" x14ac:dyDescent="0.2">
      <c r="A276" s="11">
        <v>254</v>
      </c>
      <c r="B276" s="5" t="s">
        <v>798</v>
      </c>
      <c r="C276" s="11">
        <v>84082732674</v>
      </c>
      <c r="D276" s="5" t="s">
        <v>799</v>
      </c>
      <c r="E276" s="8">
        <v>753.49</v>
      </c>
      <c r="F276" s="5" t="s">
        <v>10</v>
      </c>
      <c r="G276" s="2" t="s">
        <v>449</v>
      </c>
    </row>
    <row r="277" spans="1:7" x14ac:dyDescent="0.2">
      <c r="A277" s="11">
        <v>255</v>
      </c>
      <c r="B277" s="5" t="s">
        <v>1416</v>
      </c>
      <c r="C277" s="11">
        <v>35140755222</v>
      </c>
      <c r="D277" s="5" t="s">
        <v>1417</v>
      </c>
      <c r="E277" s="8">
        <v>64.91</v>
      </c>
      <c r="F277" s="5" t="s">
        <v>10</v>
      </c>
      <c r="G277" s="2" t="s">
        <v>23</v>
      </c>
    </row>
    <row r="278" spans="1:7" x14ac:dyDescent="0.2">
      <c r="A278" s="11">
        <v>256</v>
      </c>
      <c r="B278" s="5" t="s">
        <v>1603</v>
      </c>
      <c r="C278" s="11">
        <v>37059070344</v>
      </c>
      <c r="D278" s="5" t="s">
        <v>1604</v>
      </c>
      <c r="E278" s="8">
        <f>2000+5687.5</f>
        <v>7687.5</v>
      </c>
      <c r="F278" s="5" t="s">
        <v>10</v>
      </c>
      <c r="G278" s="2" t="s">
        <v>763</v>
      </c>
    </row>
    <row r="279" spans="1:7" x14ac:dyDescent="0.2">
      <c r="A279" s="11">
        <v>257</v>
      </c>
      <c r="B279" s="5" t="s">
        <v>1254</v>
      </c>
      <c r="C279" s="12" t="s">
        <v>1255</v>
      </c>
      <c r="D279" s="5" t="s">
        <v>1256</v>
      </c>
      <c r="E279" s="8">
        <v>88.45</v>
      </c>
      <c r="F279" s="5" t="s">
        <v>10</v>
      </c>
      <c r="G279" s="2" t="s">
        <v>23</v>
      </c>
    </row>
    <row r="280" spans="1:7" x14ac:dyDescent="0.2">
      <c r="A280" s="11">
        <v>258</v>
      </c>
      <c r="B280" s="5" t="s">
        <v>1299</v>
      </c>
      <c r="C280" s="11" t="s">
        <v>1300</v>
      </c>
      <c r="D280" s="5" t="s">
        <v>1301</v>
      </c>
      <c r="E280" s="8">
        <v>124</v>
      </c>
      <c r="F280" s="5" t="s">
        <v>10</v>
      </c>
      <c r="G280" s="2" t="s">
        <v>23</v>
      </c>
    </row>
    <row r="281" spans="1:7" x14ac:dyDescent="0.2">
      <c r="A281" s="11">
        <v>259</v>
      </c>
      <c r="B281" s="5" t="s">
        <v>1452</v>
      </c>
      <c r="C281" s="12">
        <v>39643065205</v>
      </c>
      <c r="D281" s="5" t="s">
        <v>1453</v>
      </c>
      <c r="E281" s="8">
        <v>75</v>
      </c>
      <c r="F281" s="5" t="s">
        <v>10</v>
      </c>
      <c r="G281" s="2" t="s">
        <v>23</v>
      </c>
    </row>
    <row r="282" spans="1:7" x14ac:dyDescent="0.2">
      <c r="A282" s="11">
        <v>260</v>
      </c>
      <c r="B282" s="5" t="s">
        <v>1657</v>
      </c>
      <c r="C282" s="11">
        <v>62595301902</v>
      </c>
      <c r="D282" s="5" t="s">
        <v>1658</v>
      </c>
      <c r="E282" s="8">
        <v>42.14</v>
      </c>
      <c r="F282" s="5" t="s">
        <v>10</v>
      </c>
      <c r="G282" s="2" t="s">
        <v>23</v>
      </c>
    </row>
    <row r="283" spans="1:7" x14ac:dyDescent="0.2">
      <c r="A283" s="11">
        <v>261</v>
      </c>
      <c r="B283" s="5" t="s">
        <v>434</v>
      </c>
      <c r="C283" s="11" t="s">
        <v>436</v>
      </c>
      <c r="D283" s="5" t="s">
        <v>435</v>
      </c>
      <c r="E283" s="8">
        <v>694.7</v>
      </c>
      <c r="F283" s="5" t="s">
        <v>10</v>
      </c>
      <c r="G283" s="2" t="s">
        <v>23</v>
      </c>
    </row>
    <row r="284" spans="1:7" x14ac:dyDescent="0.2">
      <c r="A284" s="11">
        <v>262</v>
      </c>
      <c r="B284" s="5" t="s">
        <v>378</v>
      </c>
      <c r="C284" s="11">
        <v>32586594426</v>
      </c>
      <c r="D284" s="5" t="s">
        <v>379</v>
      </c>
      <c r="E284" s="8">
        <v>1942.5</v>
      </c>
      <c r="F284" s="5" t="s">
        <v>10</v>
      </c>
      <c r="G284" s="2" t="s">
        <v>23</v>
      </c>
    </row>
    <row r="285" spans="1:7" x14ac:dyDescent="0.2">
      <c r="A285" s="11">
        <v>263</v>
      </c>
      <c r="B285" s="5" t="s">
        <v>773</v>
      </c>
      <c r="C285" s="11">
        <v>56290033854</v>
      </c>
      <c r="D285" s="5" t="s">
        <v>1605</v>
      </c>
      <c r="E285" s="8">
        <v>50.63</v>
      </c>
      <c r="F285" s="5" t="s">
        <v>10</v>
      </c>
      <c r="G285" s="2" t="s">
        <v>176</v>
      </c>
    </row>
    <row r="286" spans="1:7" x14ac:dyDescent="0.2">
      <c r="A286" s="11">
        <v>264</v>
      </c>
      <c r="B286" s="5" t="s">
        <v>1606</v>
      </c>
      <c r="C286" s="11">
        <v>65622780659</v>
      </c>
      <c r="D286" s="5" t="s">
        <v>1607</v>
      </c>
      <c r="E286" s="8">
        <v>1471.5</v>
      </c>
      <c r="F286" s="5" t="s">
        <v>10</v>
      </c>
      <c r="G286" s="2" t="s">
        <v>147</v>
      </c>
    </row>
    <row r="287" spans="1:7" x14ac:dyDescent="0.2">
      <c r="A287" s="11">
        <v>265</v>
      </c>
      <c r="B287" s="5" t="s">
        <v>1608</v>
      </c>
      <c r="C287" s="11">
        <v>35748176219</v>
      </c>
      <c r="D287" s="5" t="s">
        <v>1609</v>
      </c>
      <c r="E287" s="8">
        <v>61.25</v>
      </c>
      <c r="F287" s="5" t="s">
        <v>10</v>
      </c>
      <c r="G287" s="2" t="s">
        <v>23</v>
      </c>
    </row>
    <row r="288" spans="1:7" x14ac:dyDescent="0.2">
      <c r="A288" s="11">
        <v>266</v>
      </c>
      <c r="B288" s="5" t="s">
        <v>1610</v>
      </c>
      <c r="C288" s="11">
        <v>55967593756</v>
      </c>
      <c r="D288" s="5" t="s">
        <v>1611</v>
      </c>
      <c r="E288" s="8">
        <v>250</v>
      </c>
      <c r="F288" s="5" t="s">
        <v>10</v>
      </c>
      <c r="G288" s="2" t="s">
        <v>505</v>
      </c>
    </row>
    <row r="289" spans="1:7" x14ac:dyDescent="0.2">
      <c r="A289" s="11">
        <v>267</v>
      </c>
      <c r="B289" s="5" t="s">
        <v>1612</v>
      </c>
      <c r="C289" s="11">
        <v>47616034847</v>
      </c>
      <c r="D289" s="5" t="s">
        <v>1613</v>
      </c>
      <c r="E289" s="8">
        <v>151.5</v>
      </c>
      <c r="F289" s="5" t="s">
        <v>10</v>
      </c>
      <c r="G289" s="2" t="s">
        <v>173</v>
      </c>
    </row>
    <row r="290" spans="1:7" x14ac:dyDescent="0.2">
      <c r="A290" s="11">
        <v>268</v>
      </c>
      <c r="B290" s="5" t="s">
        <v>1614</v>
      </c>
      <c r="C290" s="11" t="s">
        <v>1615</v>
      </c>
      <c r="D290" s="5" t="s">
        <v>1616</v>
      </c>
      <c r="E290" s="8">
        <v>719.05</v>
      </c>
      <c r="F290" s="5" t="s">
        <v>10</v>
      </c>
      <c r="G290" s="2" t="s">
        <v>23</v>
      </c>
    </row>
    <row r="291" spans="1:7" x14ac:dyDescent="0.2">
      <c r="A291" s="11">
        <v>269</v>
      </c>
      <c r="B291" s="5" t="s">
        <v>1617</v>
      </c>
      <c r="C291" s="11" t="s">
        <v>1618</v>
      </c>
      <c r="D291" s="5" t="s">
        <v>1619</v>
      </c>
      <c r="E291" s="8">
        <v>558</v>
      </c>
      <c r="F291" s="5" t="s">
        <v>10</v>
      </c>
      <c r="G291" s="2" t="s">
        <v>23</v>
      </c>
    </row>
    <row r="292" spans="1:7" x14ac:dyDescent="0.2">
      <c r="A292" s="11">
        <v>270</v>
      </c>
      <c r="B292" s="5" t="s">
        <v>1620</v>
      </c>
      <c r="C292" s="11" t="s">
        <v>1621</v>
      </c>
      <c r="D292" s="5" t="s">
        <v>1622</v>
      </c>
      <c r="E292" s="8">
        <v>2860.83</v>
      </c>
      <c r="F292" s="5" t="s">
        <v>10</v>
      </c>
      <c r="G292" s="2" t="s">
        <v>86</v>
      </c>
    </row>
    <row r="293" spans="1:7" x14ac:dyDescent="0.2">
      <c r="A293" s="11">
        <v>271</v>
      </c>
      <c r="B293" s="5" t="s">
        <v>1479</v>
      </c>
      <c r="C293" s="12">
        <v>83442273157</v>
      </c>
      <c r="D293" s="5" t="s">
        <v>1480</v>
      </c>
      <c r="E293" s="8">
        <f>481.25+1640.88</f>
        <v>2122.13</v>
      </c>
      <c r="F293" s="5" t="s">
        <v>10</v>
      </c>
      <c r="G293" s="2" t="s">
        <v>192</v>
      </c>
    </row>
    <row r="294" spans="1:7" x14ac:dyDescent="0.2">
      <c r="A294" s="11">
        <v>272</v>
      </c>
      <c r="B294" s="5" t="s">
        <v>1623</v>
      </c>
      <c r="C294" s="12">
        <v>78087084623</v>
      </c>
      <c r="D294" s="5" t="s">
        <v>1624</v>
      </c>
      <c r="E294" s="8">
        <v>288.70999999999998</v>
      </c>
      <c r="F294" s="5" t="s">
        <v>10</v>
      </c>
      <c r="G294" s="2" t="s">
        <v>637</v>
      </c>
    </row>
    <row r="295" spans="1:7" x14ac:dyDescent="0.2">
      <c r="A295" s="11">
        <v>273</v>
      </c>
      <c r="B295" s="5" t="s">
        <v>1625</v>
      </c>
      <c r="C295" s="11">
        <v>13444890387</v>
      </c>
      <c r="D295" s="5" t="s">
        <v>1626</v>
      </c>
      <c r="E295" s="8">
        <v>66</v>
      </c>
      <c r="F295" s="5" t="s">
        <v>10</v>
      </c>
      <c r="G295" s="2" t="s">
        <v>23</v>
      </c>
    </row>
    <row r="296" spans="1:7" x14ac:dyDescent="0.2">
      <c r="A296" s="11">
        <v>274</v>
      </c>
      <c r="B296" s="5" t="s">
        <v>1241</v>
      </c>
      <c r="C296" s="11" t="s">
        <v>1242</v>
      </c>
      <c r="D296" s="5" t="s">
        <v>1243</v>
      </c>
      <c r="E296" s="8">
        <v>13221.38</v>
      </c>
      <c r="F296" s="5" t="s">
        <v>10</v>
      </c>
      <c r="G296" s="2" t="s">
        <v>23</v>
      </c>
    </row>
    <row r="297" spans="1:7" x14ac:dyDescent="0.2">
      <c r="A297" s="11">
        <v>275</v>
      </c>
      <c r="B297" s="5" t="s">
        <v>1267</v>
      </c>
      <c r="C297" s="12">
        <v>69022699714</v>
      </c>
      <c r="D297" s="5" t="s">
        <v>1268</v>
      </c>
      <c r="E297" s="8">
        <v>1630.5</v>
      </c>
      <c r="F297" s="5" t="s">
        <v>10</v>
      </c>
      <c r="G297" s="2" t="s">
        <v>23</v>
      </c>
    </row>
    <row r="298" spans="1:7" x14ac:dyDescent="0.2">
      <c r="A298" s="11">
        <v>276</v>
      </c>
      <c r="B298" s="5" t="s">
        <v>1342</v>
      </c>
      <c r="C298" s="11" t="s">
        <v>417</v>
      </c>
      <c r="D298" s="5" t="s">
        <v>1343</v>
      </c>
      <c r="E298" s="8">
        <f>1191.24+717.84</f>
        <v>1909.08</v>
      </c>
      <c r="F298" s="5" t="s">
        <v>10</v>
      </c>
      <c r="G298" s="2" t="s">
        <v>23</v>
      </c>
    </row>
    <row r="299" spans="1:7" x14ac:dyDescent="0.2">
      <c r="A299" s="11">
        <v>277</v>
      </c>
      <c r="B299" s="5" t="s">
        <v>1627</v>
      </c>
      <c r="C299" s="11" t="s">
        <v>1628</v>
      </c>
      <c r="D299" s="5" t="s">
        <v>1629</v>
      </c>
      <c r="E299" s="8">
        <f>2529.43+4946.06</f>
        <v>7475.49</v>
      </c>
      <c r="F299" s="5" t="s">
        <v>10</v>
      </c>
      <c r="G299" s="2" t="s">
        <v>23</v>
      </c>
    </row>
    <row r="300" spans="1:7" x14ac:dyDescent="0.2">
      <c r="A300" s="11">
        <v>278</v>
      </c>
      <c r="B300" s="5" t="s">
        <v>1369</v>
      </c>
      <c r="C300" s="11">
        <v>38001831721</v>
      </c>
      <c r="D300" s="5" t="s">
        <v>1370</v>
      </c>
      <c r="E300" s="8">
        <f>25+87.5</f>
        <v>112.5</v>
      </c>
      <c r="F300" s="5" t="s">
        <v>10</v>
      </c>
      <c r="G300" s="2" t="s">
        <v>1371</v>
      </c>
    </row>
    <row r="301" spans="1:7" x14ac:dyDescent="0.2">
      <c r="A301" s="11">
        <v>279</v>
      </c>
      <c r="B301" s="5" t="s">
        <v>1464</v>
      </c>
      <c r="C301" s="12">
        <v>26690995530</v>
      </c>
      <c r="D301" s="5" t="s">
        <v>1465</v>
      </c>
      <c r="E301" s="8">
        <v>6297.8</v>
      </c>
      <c r="F301" s="5" t="s">
        <v>10</v>
      </c>
      <c r="G301" s="2" t="s">
        <v>350</v>
      </c>
    </row>
    <row r="302" spans="1:7" x14ac:dyDescent="0.2">
      <c r="A302" s="11">
        <v>280</v>
      </c>
      <c r="B302" s="5" t="s">
        <v>1459</v>
      </c>
      <c r="C302" s="11">
        <v>98164456048</v>
      </c>
      <c r="D302" s="5" t="s">
        <v>1460</v>
      </c>
      <c r="E302" s="8">
        <v>2023.15</v>
      </c>
      <c r="F302" s="5" t="s">
        <v>10</v>
      </c>
      <c r="G302" s="2" t="s">
        <v>186</v>
      </c>
    </row>
    <row r="303" spans="1:7" x14ac:dyDescent="0.2">
      <c r="A303" s="11">
        <v>281</v>
      </c>
      <c r="B303" s="5" t="s">
        <v>1454</v>
      </c>
      <c r="C303" s="12">
        <v>66962076561</v>
      </c>
      <c r="D303" s="5" t="s">
        <v>1455</v>
      </c>
      <c r="E303" s="8">
        <v>350.63</v>
      </c>
      <c r="F303" s="5" t="s">
        <v>10</v>
      </c>
      <c r="G303" s="2" t="s">
        <v>350</v>
      </c>
    </row>
    <row r="304" spans="1:7" x14ac:dyDescent="0.2">
      <c r="A304" s="11">
        <v>282</v>
      </c>
      <c r="B304" s="5" t="s">
        <v>1630</v>
      </c>
      <c r="C304" s="12">
        <v>79440156557</v>
      </c>
      <c r="D304" s="5" t="s">
        <v>509</v>
      </c>
      <c r="E304" s="8">
        <v>4560.55</v>
      </c>
      <c r="F304" s="5" t="s">
        <v>10</v>
      </c>
      <c r="G304" s="2" t="s">
        <v>86</v>
      </c>
    </row>
    <row r="305" spans="1:7" ht="12.75" thickBot="1" x14ac:dyDescent="0.25">
      <c r="A305" s="11">
        <v>283</v>
      </c>
      <c r="B305" s="19" t="s">
        <v>1631</v>
      </c>
      <c r="C305" s="36">
        <v>97895722777</v>
      </c>
      <c r="D305" s="19" t="s">
        <v>1632</v>
      </c>
      <c r="E305" s="15">
        <v>975</v>
      </c>
      <c r="F305" s="19" t="s">
        <v>10</v>
      </c>
      <c r="G305" s="28" t="s">
        <v>505</v>
      </c>
    </row>
    <row r="306" spans="1:7" x14ac:dyDescent="0.2">
      <c r="A306" s="84">
        <v>284</v>
      </c>
      <c r="B306" s="82" t="s">
        <v>151</v>
      </c>
      <c r="C306" s="84">
        <v>59964152545</v>
      </c>
      <c r="D306" s="82" t="s">
        <v>211</v>
      </c>
      <c r="E306" s="16">
        <v>887.95</v>
      </c>
      <c r="F306" s="82" t="s">
        <v>10</v>
      </c>
      <c r="G306" s="31" t="s">
        <v>130</v>
      </c>
    </row>
    <row r="307" spans="1:7" ht="12.75" thickBot="1" x14ac:dyDescent="0.25">
      <c r="A307" s="85"/>
      <c r="B307" s="83"/>
      <c r="C307" s="85"/>
      <c r="D307" s="83"/>
      <c r="E307" s="18">
        <v>284.81</v>
      </c>
      <c r="F307" s="83"/>
      <c r="G307" s="32" t="s">
        <v>23</v>
      </c>
    </row>
    <row r="308" spans="1:7" x14ac:dyDescent="0.2">
      <c r="A308" s="37">
        <v>285</v>
      </c>
      <c r="B308" s="33" t="s">
        <v>959</v>
      </c>
      <c r="C308" s="37">
        <v>18545665005</v>
      </c>
      <c r="D308" s="33" t="s">
        <v>509</v>
      </c>
      <c r="E308" s="17">
        <f>175+300+28062.5</f>
        <v>28537.5</v>
      </c>
      <c r="F308" s="33" t="s">
        <v>10</v>
      </c>
      <c r="G308" s="34" t="s">
        <v>23</v>
      </c>
    </row>
    <row r="309" spans="1:7" x14ac:dyDescent="0.2">
      <c r="A309" s="11">
        <v>286</v>
      </c>
      <c r="B309" s="5" t="s">
        <v>1329</v>
      </c>
      <c r="C309" s="12" t="s">
        <v>1330</v>
      </c>
      <c r="D309" s="5" t="s">
        <v>1331</v>
      </c>
      <c r="E309" s="8">
        <v>167.6</v>
      </c>
      <c r="F309" s="5" t="s">
        <v>10</v>
      </c>
      <c r="G309" s="2" t="s">
        <v>23</v>
      </c>
    </row>
    <row r="310" spans="1:7" x14ac:dyDescent="0.2">
      <c r="A310" s="11">
        <v>287</v>
      </c>
      <c r="B310" s="5" t="s">
        <v>1633</v>
      </c>
      <c r="C310" s="12">
        <v>53951737793</v>
      </c>
      <c r="D310" s="5" t="s">
        <v>1634</v>
      </c>
      <c r="E310" s="8">
        <v>405</v>
      </c>
      <c r="F310" s="5" t="s">
        <v>10</v>
      </c>
      <c r="G310" s="2" t="s">
        <v>23</v>
      </c>
    </row>
    <row r="311" spans="1:7" x14ac:dyDescent="0.2">
      <c r="A311" s="11">
        <v>288</v>
      </c>
      <c r="B311" s="5" t="s">
        <v>1139</v>
      </c>
      <c r="C311" s="11">
        <v>66402309304</v>
      </c>
      <c r="D311" s="5" t="s">
        <v>1140</v>
      </c>
      <c r="E311" s="8">
        <v>3800</v>
      </c>
      <c r="F311" s="5" t="s">
        <v>10</v>
      </c>
      <c r="G311" s="2" t="s">
        <v>23</v>
      </c>
    </row>
    <row r="312" spans="1:7" x14ac:dyDescent="0.2">
      <c r="A312" s="11">
        <v>289</v>
      </c>
      <c r="B312" s="5" t="s">
        <v>1335</v>
      </c>
      <c r="C312" s="12" t="s">
        <v>750</v>
      </c>
      <c r="D312" s="5" t="s">
        <v>751</v>
      </c>
      <c r="E312" s="8">
        <v>68.97</v>
      </c>
      <c r="F312" s="5" t="s">
        <v>10</v>
      </c>
      <c r="G312" s="2" t="s">
        <v>330</v>
      </c>
    </row>
    <row r="313" spans="1:7" ht="5.25" customHeight="1" x14ac:dyDescent="0.2">
      <c r="A313" s="11"/>
      <c r="B313" s="5"/>
      <c r="C313" s="11"/>
      <c r="D313" s="5"/>
      <c r="E313" s="8"/>
      <c r="F313" s="5"/>
      <c r="G313" s="2"/>
    </row>
    <row r="315" spans="1:7" x14ac:dyDescent="0.2">
      <c r="D315" s="61" t="s">
        <v>1635</v>
      </c>
      <c r="E315" s="54">
        <f>SUM(E11:E313)</f>
        <v>2624993.6200000029</v>
      </c>
    </row>
  </sheetData>
  <sheetProtection algorithmName="SHA-512" hashValue="TRd1C9hFEVNhjF4LT2tZjydg5iXpPtwjiWTPWEtQNPh7eduf0WyHMDUmywcDVCpHQaIhpZLpn4F6kFv2YfSZSw==" saltValue="Ysk+rjBvs4/gOsUgeCiH6w==" spinCount="100000" sheet="1" objects="1" scenarios="1" selectLockedCells="1" autoFilter="0" selectUnlockedCells="1"/>
  <autoFilter ref="A10:G10" xr:uid="{D042FF09-A510-4802-9787-EA4F5213154D}"/>
  <mergeCells count="63">
    <mergeCell ref="A306:A307"/>
    <mergeCell ref="B306:B307"/>
    <mergeCell ref="C306:C307"/>
    <mergeCell ref="D306:D307"/>
    <mergeCell ref="F306:F307"/>
    <mergeCell ref="A159:A160"/>
    <mergeCell ref="B159:B160"/>
    <mergeCell ref="C159:C160"/>
    <mergeCell ref="D159:D160"/>
    <mergeCell ref="F159:F160"/>
    <mergeCell ref="A224:A225"/>
    <mergeCell ref="B224:B225"/>
    <mergeCell ref="C224:C225"/>
    <mergeCell ref="D224:D225"/>
    <mergeCell ref="F224:F225"/>
    <mergeCell ref="A82:A83"/>
    <mergeCell ref="B82:B83"/>
    <mergeCell ref="C82:C83"/>
    <mergeCell ref="D82:D83"/>
    <mergeCell ref="F82:F83"/>
    <mergeCell ref="A121:A122"/>
    <mergeCell ref="B121:B122"/>
    <mergeCell ref="C121:C122"/>
    <mergeCell ref="D121:D122"/>
    <mergeCell ref="F121:F122"/>
    <mergeCell ref="A69:A71"/>
    <mergeCell ref="B69:B71"/>
    <mergeCell ref="C69:C71"/>
    <mergeCell ref="D69:D71"/>
    <mergeCell ref="F69:F71"/>
    <mergeCell ref="A80:A81"/>
    <mergeCell ref="B80:B81"/>
    <mergeCell ref="C80:C81"/>
    <mergeCell ref="D80:D81"/>
    <mergeCell ref="F80:F81"/>
    <mergeCell ref="A40:A41"/>
    <mergeCell ref="B40:B41"/>
    <mergeCell ref="C40:C41"/>
    <mergeCell ref="D40:D41"/>
    <mergeCell ref="F40:F41"/>
    <mergeCell ref="A54:A55"/>
    <mergeCell ref="B54:B55"/>
    <mergeCell ref="C54:C55"/>
    <mergeCell ref="D54:D55"/>
    <mergeCell ref="F54:F55"/>
    <mergeCell ref="A36:A37"/>
    <mergeCell ref="B36:B37"/>
    <mergeCell ref="C36:C37"/>
    <mergeCell ref="D36:D37"/>
    <mergeCell ref="F36:F37"/>
    <mergeCell ref="A38:A39"/>
    <mergeCell ref="B38:B39"/>
    <mergeCell ref="C38:C39"/>
    <mergeCell ref="D38:D39"/>
    <mergeCell ref="F38:F39"/>
    <mergeCell ref="A6:B6"/>
    <mergeCell ref="A7:B7"/>
    <mergeCell ref="C8:F8"/>
    <mergeCell ref="A30:A31"/>
    <mergeCell ref="B30:B31"/>
    <mergeCell ref="C30:C31"/>
    <mergeCell ref="D30:D31"/>
    <mergeCell ref="F30:F3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AC209-4CD2-4BFF-83CD-7C25ADD9CD20}">
  <dimension ref="A5:J270"/>
  <sheetViews>
    <sheetView workbookViewId="0">
      <selection activeCell="D49" sqref="D49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74" t="s">
        <v>7</v>
      </c>
      <c r="B6" s="74"/>
    </row>
    <row r="7" spans="1:7" x14ac:dyDescent="0.2">
      <c r="A7" s="74" t="s">
        <v>8</v>
      </c>
      <c r="B7" s="74"/>
    </row>
    <row r="8" spans="1:7" x14ac:dyDescent="0.2">
      <c r="A8" s="25"/>
      <c r="B8" s="6"/>
      <c r="C8" s="75" t="s">
        <v>1659</v>
      </c>
      <c r="D8" s="75"/>
      <c r="E8" s="75"/>
      <c r="F8" s="75"/>
    </row>
    <row r="10" spans="1:7" x14ac:dyDescent="0.2">
      <c r="A10" s="3" t="s">
        <v>1</v>
      </c>
      <c r="B10" s="4" t="s">
        <v>0</v>
      </c>
      <c r="C10" s="3" t="s">
        <v>42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11</v>
      </c>
      <c r="C11" s="11">
        <v>23780250353</v>
      </c>
      <c r="D11" s="5" t="s">
        <v>27</v>
      </c>
      <c r="E11" s="8">
        <v>2520.39</v>
      </c>
      <c r="F11" s="5" t="s">
        <v>10</v>
      </c>
      <c r="G11" s="2" t="s">
        <v>12</v>
      </c>
    </row>
    <row r="12" spans="1:7" x14ac:dyDescent="0.2">
      <c r="A12" s="11">
        <v>2</v>
      </c>
      <c r="B12" s="5" t="s">
        <v>1660</v>
      </c>
      <c r="C12" s="11">
        <v>56822948795</v>
      </c>
      <c r="D12" s="5" t="s">
        <v>1661</v>
      </c>
      <c r="E12" s="8">
        <v>161.25</v>
      </c>
      <c r="F12" s="5" t="s">
        <v>10</v>
      </c>
      <c r="G12" s="2" t="s">
        <v>505</v>
      </c>
    </row>
    <row r="13" spans="1:7" x14ac:dyDescent="0.2">
      <c r="A13" s="11">
        <v>3</v>
      </c>
      <c r="B13" s="5" t="s">
        <v>14</v>
      </c>
      <c r="C13" s="11">
        <v>87939104217</v>
      </c>
      <c r="D13" s="5" t="s">
        <v>15</v>
      </c>
      <c r="E13" s="8">
        <v>38.28</v>
      </c>
      <c r="F13" s="5" t="s">
        <v>10</v>
      </c>
      <c r="G13" s="2" t="s">
        <v>16</v>
      </c>
    </row>
    <row r="14" spans="1:7" x14ac:dyDescent="0.2">
      <c r="A14" s="11">
        <v>4</v>
      </c>
      <c r="B14" s="5" t="s">
        <v>1662</v>
      </c>
      <c r="C14" s="11">
        <v>63914773196</v>
      </c>
      <c r="D14" s="5" t="s">
        <v>516</v>
      </c>
      <c r="E14" s="8">
        <v>662.5</v>
      </c>
      <c r="F14" s="5" t="s">
        <v>10</v>
      </c>
      <c r="G14" s="2" t="s">
        <v>23</v>
      </c>
    </row>
    <row r="15" spans="1:7" x14ac:dyDescent="0.2">
      <c r="A15" s="11">
        <v>5</v>
      </c>
      <c r="B15" s="5" t="s">
        <v>1663</v>
      </c>
      <c r="C15" s="11">
        <v>32695935393</v>
      </c>
      <c r="D15" s="5" t="s">
        <v>1664</v>
      </c>
      <c r="E15" s="8">
        <v>1237.5</v>
      </c>
      <c r="F15" s="5" t="s">
        <v>10</v>
      </c>
      <c r="G15" s="2" t="s">
        <v>287</v>
      </c>
    </row>
    <row r="16" spans="1:7" ht="14.25" customHeight="1" x14ac:dyDescent="0.2">
      <c r="A16" s="11">
        <v>6</v>
      </c>
      <c r="B16" s="5" t="s">
        <v>19</v>
      </c>
      <c r="C16" s="12" t="s">
        <v>30</v>
      </c>
      <c r="D16" s="9" t="s">
        <v>31</v>
      </c>
      <c r="E16" s="8">
        <v>5444.54</v>
      </c>
      <c r="F16" s="5" t="s">
        <v>10</v>
      </c>
      <c r="G16" s="2" t="s">
        <v>20</v>
      </c>
    </row>
    <row r="17" spans="1:8" x14ac:dyDescent="0.2">
      <c r="A17" s="11">
        <v>7</v>
      </c>
      <c r="B17" s="5" t="s">
        <v>22</v>
      </c>
      <c r="C17" s="11">
        <v>85167032587</v>
      </c>
      <c r="D17" s="5" t="s">
        <v>29</v>
      </c>
      <c r="E17" s="8">
        <v>527.30999999999995</v>
      </c>
      <c r="F17" s="5" t="s">
        <v>10</v>
      </c>
      <c r="G17" s="2" t="s">
        <v>21</v>
      </c>
    </row>
    <row r="18" spans="1:8" x14ac:dyDescent="0.2">
      <c r="A18" s="11">
        <v>8</v>
      </c>
      <c r="B18" s="5" t="s">
        <v>180</v>
      </c>
      <c r="C18" s="11">
        <v>87311810356</v>
      </c>
      <c r="D18" s="5" t="s">
        <v>229</v>
      </c>
      <c r="E18" s="8">
        <f>287.84</f>
        <v>287.83999999999997</v>
      </c>
      <c r="F18" s="5" t="s">
        <v>10</v>
      </c>
      <c r="G18" s="2" t="s">
        <v>179</v>
      </c>
    </row>
    <row r="19" spans="1:8" x14ac:dyDescent="0.2">
      <c r="A19" s="11">
        <v>9</v>
      </c>
      <c r="B19" s="5" t="s">
        <v>688</v>
      </c>
      <c r="C19" s="11">
        <v>44040649076</v>
      </c>
      <c r="D19" s="5" t="s">
        <v>689</v>
      </c>
      <c r="E19" s="8">
        <f>5000</f>
        <v>5000</v>
      </c>
      <c r="F19" s="5" t="s">
        <v>10</v>
      </c>
      <c r="G19" s="2" t="s">
        <v>23</v>
      </c>
    </row>
    <row r="20" spans="1:8" x14ac:dyDescent="0.2">
      <c r="A20" s="11">
        <v>10</v>
      </c>
      <c r="B20" s="5" t="s">
        <v>329</v>
      </c>
      <c r="C20" s="11">
        <v>84523433179</v>
      </c>
      <c r="D20" s="5" t="s">
        <v>331</v>
      </c>
      <c r="E20" s="8">
        <v>13.75</v>
      </c>
      <c r="F20" s="5" t="s">
        <v>10</v>
      </c>
      <c r="G20" s="2" t="s">
        <v>330</v>
      </c>
    </row>
    <row r="21" spans="1:8" x14ac:dyDescent="0.2">
      <c r="A21" s="11">
        <v>11</v>
      </c>
      <c r="B21" s="5" t="s">
        <v>17</v>
      </c>
      <c r="C21" s="11" t="s">
        <v>17</v>
      </c>
      <c r="D21" s="5" t="s">
        <v>17</v>
      </c>
      <c r="E21" s="8">
        <v>1193474.3799999999</v>
      </c>
      <c r="F21" s="5" t="s">
        <v>10</v>
      </c>
      <c r="G21" s="2" t="s">
        <v>34</v>
      </c>
    </row>
    <row r="22" spans="1:8" ht="12" customHeight="1" x14ac:dyDescent="0.2">
      <c r="A22" s="11">
        <v>12</v>
      </c>
      <c r="B22" s="5" t="s">
        <v>685</v>
      </c>
      <c r="C22" s="11">
        <v>78424785565</v>
      </c>
      <c r="D22" s="5" t="s">
        <v>686</v>
      </c>
      <c r="E22" s="8">
        <f>2225+9473.75+1010.5</f>
        <v>12709.25</v>
      </c>
      <c r="F22" s="5" t="s">
        <v>10</v>
      </c>
      <c r="G22" s="2" t="s">
        <v>23</v>
      </c>
    </row>
    <row r="23" spans="1:8" x14ac:dyDescent="0.2">
      <c r="A23" s="11">
        <v>13</v>
      </c>
      <c r="B23" s="5" t="s">
        <v>478</v>
      </c>
      <c r="C23" s="11">
        <v>25712329343</v>
      </c>
      <c r="D23" s="5" t="s">
        <v>479</v>
      </c>
      <c r="E23" s="8">
        <f>576.11+46.88</f>
        <v>622.99</v>
      </c>
      <c r="F23" s="5" t="s">
        <v>10</v>
      </c>
      <c r="G23" s="2" t="s">
        <v>23</v>
      </c>
    </row>
    <row r="24" spans="1:8" x14ac:dyDescent="0.2">
      <c r="A24" s="11">
        <v>14</v>
      </c>
      <c r="B24" s="5" t="s">
        <v>39</v>
      </c>
      <c r="C24" s="12" t="s">
        <v>44</v>
      </c>
      <c r="D24" s="5" t="s">
        <v>43</v>
      </c>
      <c r="E24" s="8">
        <f>5.34+1332.91</f>
        <v>1338.25</v>
      </c>
      <c r="F24" s="5" t="s">
        <v>10</v>
      </c>
      <c r="G24" s="2" t="s">
        <v>16</v>
      </c>
    </row>
    <row r="25" spans="1:8" x14ac:dyDescent="0.2">
      <c r="A25" s="11">
        <v>15</v>
      </c>
      <c r="B25" s="5" t="s">
        <v>45</v>
      </c>
      <c r="C25" s="11">
        <v>57500462912</v>
      </c>
      <c r="D25" s="5" t="s">
        <v>47</v>
      </c>
      <c r="E25" s="8">
        <f>300+500+300</f>
        <v>1100</v>
      </c>
      <c r="F25" s="5" t="s">
        <v>10</v>
      </c>
      <c r="G25" s="2" t="s">
        <v>46</v>
      </c>
    </row>
    <row r="26" spans="1:8" x14ac:dyDescent="0.2">
      <c r="A26" s="11">
        <v>16</v>
      </c>
      <c r="B26" s="5" t="s">
        <v>102</v>
      </c>
      <c r="C26" s="11">
        <v>981494061</v>
      </c>
      <c r="D26" s="5" t="s">
        <v>103</v>
      </c>
      <c r="E26" s="8">
        <f>836.34+836.34</f>
        <v>1672.68</v>
      </c>
      <c r="F26" s="5" t="s">
        <v>10</v>
      </c>
      <c r="G26" s="2" t="s">
        <v>62</v>
      </c>
    </row>
    <row r="27" spans="1:8" x14ac:dyDescent="0.2">
      <c r="A27" s="11">
        <v>17</v>
      </c>
      <c r="B27" s="19" t="s">
        <v>297</v>
      </c>
      <c r="C27" s="36">
        <v>72836081238</v>
      </c>
      <c r="D27" s="19" t="s">
        <v>298</v>
      </c>
      <c r="E27" s="15">
        <f>5000+5000+12255+3475+3000</f>
        <v>28730</v>
      </c>
      <c r="F27" s="19" t="s">
        <v>10</v>
      </c>
      <c r="G27" s="28" t="s">
        <v>23</v>
      </c>
    </row>
    <row r="28" spans="1:8" x14ac:dyDescent="0.2">
      <c r="A28" s="11">
        <v>18</v>
      </c>
      <c r="B28" s="5" t="s">
        <v>1665</v>
      </c>
      <c r="C28" s="11">
        <v>30141171041</v>
      </c>
      <c r="D28" s="5" t="s">
        <v>1666</v>
      </c>
      <c r="E28" s="8">
        <v>2450</v>
      </c>
      <c r="F28" s="44" t="s">
        <v>10</v>
      </c>
      <c r="G28" s="2" t="s">
        <v>505</v>
      </c>
    </row>
    <row r="29" spans="1:8" ht="12.75" thickBot="1" x14ac:dyDescent="0.25">
      <c r="A29" s="11">
        <v>19</v>
      </c>
      <c r="B29" s="19" t="s">
        <v>1667</v>
      </c>
      <c r="C29" s="36">
        <v>97149222597</v>
      </c>
      <c r="D29" s="19" t="s">
        <v>1668</v>
      </c>
      <c r="E29" s="15">
        <v>3.05</v>
      </c>
      <c r="F29" s="19" t="s">
        <v>10</v>
      </c>
      <c r="G29" s="28" t="s">
        <v>23</v>
      </c>
      <c r="H29" s="13"/>
    </row>
    <row r="30" spans="1:8" x14ac:dyDescent="0.2">
      <c r="A30" s="88">
        <v>20</v>
      </c>
      <c r="B30" s="90" t="s">
        <v>613</v>
      </c>
      <c r="C30" s="88">
        <v>66253945791</v>
      </c>
      <c r="D30" s="90" t="s">
        <v>67</v>
      </c>
      <c r="E30" s="16">
        <f>88571.17+28549.28+70000</f>
        <v>187120.45</v>
      </c>
      <c r="F30" s="92" t="s">
        <v>10</v>
      </c>
      <c r="G30" s="31" t="s">
        <v>58</v>
      </c>
    </row>
    <row r="31" spans="1:8" ht="12.75" thickBot="1" x14ac:dyDescent="0.25">
      <c r="A31" s="89"/>
      <c r="B31" s="91"/>
      <c r="C31" s="89"/>
      <c r="D31" s="91"/>
      <c r="E31" s="18">
        <v>57344.67</v>
      </c>
      <c r="F31" s="93"/>
      <c r="G31" s="32" t="s">
        <v>23</v>
      </c>
    </row>
    <row r="32" spans="1:8" x14ac:dyDescent="0.2">
      <c r="A32" s="37">
        <v>21</v>
      </c>
      <c r="B32" s="5" t="s">
        <v>1669</v>
      </c>
      <c r="C32" s="11">
        <v>33548604975</v>
      </c>
      <c r="D32" s="5" t="s">
        <v>1204</v>
      </c>
      <c r="E32" s="8">
        <v>55.5</v>
      </c>
      <c r="F32" s="5" t="s">
        <v>10</v>
      </c>
      <c r="G32" s="2" t="s">
        <v>23</v>
      </c>
    </row>
    <row r="33" spans="1:7" x14ac:dyDescent="0.2">
      <c r="A33" s="11">
        <v>22</v>
      </c>
      <c r="B33" s="19" t="s">
        <v>59</v>
      </c>
      <c r="C33" s="36">
        <v>63073332379</v>
      </c>
      <c r="D33" s="19" t="s">
        <v>73</v>
      </c>
      <c r="E33" s="15">
        <v>4192.18</v>
      </c>
      <c r="F33" s="19" t="s">
        <v>10</v>
      </c>
      <c r="G33" s="28" t="s">
        <v>61</v>
      </c>
    </row>
    <row r="34" spans="1:7" x14ac:dyDescent="0.2">
      <c r="A34" s="11">
        <v>23</v>
      </c>
      <c r="B34" s="5" t="s">
        <v>1009</v>
      </c>
      <c r="C34" s="11">
        <v>27712717103</v>
      </c>
      <c r="D34" s="5" t="s">
        <v>1010</v>
      </c>
      <c r="E34" s="8">
        <f>10000+13621.88</f>
        <v>23621.879999999997</v>
      </c>
      <c r="F34" s="44" t="s">
        <v>10</v>
      </c>
      <c r="G34" s="2" t="s">
        <v>147</v>
      </c>
    </row>
    <row r="35" spans="1:7" ht="12.75" thickBot="1" x14ac:dyDescent="0.25">
      <c r="A35" s="11">
        <v>24</v>
      </c>
      <c r="B35" s="5" t="s">
        <v>755</v>
      </c>
      <c r="C35" s="11">
        <v>44270699963</v>
      </c>
      <c r="D35" s="5" t="s">
        <v>756</v>
      </c>
      <c r="E35" s="18">
        <v>29.7</v>
      </c>
      <c r="F35" s="35" t="s">
        <v>10</v>
      </c>
      <c r="G35" s="32" t="s">
        <v>112</v>
      </c>
    </row>
    <row r="36" spans="1:7" ht="15" customHeight="1" x14ac:dyDescent="0.2">
      <c r="A36" s="84">
        <v>25</v>
      </c>
      <c r="B36" s="82" t="s">
        <v>76</v>
      </c>
      <c r="C36" s="84">
        <v>11471889269</v>
      </c>
      <c r="D36" s="82" t="s">
        <v>77</v>
      </c>
      <c r="E36" s="16">
        <v>4472.18</v>
      </c>
      <c r="F36" s="82" t="s">
        <v>10</v>
      </c>
      <c r="G36" s="31" t="s">
        <v>58</v>
      </c>
    </row>
    <row r="37" spans="1:7" ht="12.75" thickBot="1" x14ac:dyDescent="0.25">
      <c r="A37" s="70"/>
      <c r="B37" s="69"/>
      <c r="C37" s="70"/>
      <c r="D37" s="69"/>
      <c r="E37" s="15">
        <f>3047.38+10000+4798.08</f>
        <v>17845.46</v>
      </c>
      <c r="F37" s="69"/>
      <c r="G37" s="28" t="s">
        <v>23</v>
      </c>
    </row>
    <row r="38" spans="1:7" ht="12.75" thickBot="1" x14ac:dyDescent="0.25">
      <c r="A38" s="60">
        <v>26</v>
      </c>
      <c r="B38" s="59" t="s">
        <v>78</v>
      </c>
      <c r="C38" s="60">
        <v>27759560625</v>
      </c>
      <c r="D38" s="59" t="s">
        <v>80</v>
      </c>
      <c r="E38" s="16">
        <v>7136.14</v>
      </c>
      <c r="F38" s="59" t="s">
        <v>10</v>
      </c>
      <c r="G38" s="31" t="s">
        <v>79</v>
      </c>
    </row>
    <row r="39" spans="1:7" x14ac:dyDescent="0.2">
      <c r="A39" s="84">
        <v>27</v>
      </c>
      <c r="B39" s="82" t="s">
        <v>800</v>
      </c>
      <c r="C39" s="84">
        <v>91367259285</v>
      </c>
      <c r="D39" s="82" t="s">
        <v>801</v>
      </c>
      <c r="E39" s="16">
        <v>236.69</v>
      </c>
      <c r="F39" s="82" t="s">
        <v>10</v>
      </c>
      <c r="G39" s="31" t="s">
        <v>23</v>
      </c>
    </row>
    <row r="40" spans="1:7" ht="12.75" thickBot="1" x14ac:dyDescent="0.25">
      <c r="A40" s="85"/>
      <c r="B40" s="83"/>
      <c r="C40" s="85"/>
      <c r="D40" s="83"/>
      <c r="E40" s="18">
        <v>1646.44</v>
      </c>
      <c r="F40" s="83"/>
      <c r="G40" s="32" t="s">
        <v>147</v>
      </c>
    </row>
    <row r="41" spans="1:7" x14ac:dyDescent="0.2">
      <c r="A41" s="37">
        <v>28</v>
      </c>
      <c r="B41" s="33" t="s">
        <v>1636</v>
      </c>
      <c r="C41" s="37">
        <v>99978094596</v>
      </c>
      <c r="D41" s="33" t="s">
        <v>1637</v>
      </c>
      <c r="E41" s="17">
        <v>3200</v>
      </c>
      <c r="F41" s="33" t="s">
        <v>10</v>
      </c>
      <c r="G41" s="34" t="s">
        <v>23</v>
      </c>
    </row>
    <row r="42" spans="1:7" x14ac:dyDescent="0.2">
      <c r="A42" s="37">
        <v>29</v>
      </c>
      <c r="B42" s="5" t="s">
        <v>1670</v>
      </c>
      <c r="C42" s="11">
        <v>59145605766</v>
      </c>
      <c r="D42" s="5" t="s">
        <v>1671</v>
      </c>
      <c r="E42" s="8">
        <v>3000</v>
      </c>
      <c r="F42" s="5" t="s">
        <v>10</v>
      </c>
      <c r="G42" s="2" t="s">
        <v>505</v>
      </c>
    </row>
    <row r="43" spans="1:7" x14ac:dyDescent="0.2">
      <c r="A43" s="11">
        <v>30</v>
      </c>
      <c r="B43" s="5" t="s">
        <v>663</v>
      </c>
      <c r="C43" s="12">
        <v>42211007051</v>
      </c>
      <c r="D43" s="5" t="s">
        <v>1672</v>
      </c>
      <c r="E43" s="8">
        <v>179.5</v>
      </c>
      <c r="F43" s="5" t="s">
        <v>10</v>
      </c>
      <c r="G43" s="2" t="s">
        <v>637</v>
      </c>
    </row>
    <row r="44" spans="1:7" x14ac:dyDescent="0.2">
      <c r="A44" s="37">
        <v>31</v>
      </c>
      <c r="B44" s="5" t="s">
        <v>165</v>
      </c>
      <c r="C44" s="11">
        <v>62534176727</v>
      </c>
      <c r="D44" s="5" t="s">
        <v>222</v>
      </c>
      <c r="E44" s="8">
        <f>2325+4000</f>
        <v>6325</v>
      </c>
      <c r="F44" s="5" t="s">
        <v>10</v>
      </c>
      <c r="G44" s="2" t="s">
        <v>23</v>
      </c>
    </row>
    <row r="45" spans="1:7" x14ac:dyDescent="0.2">
      <c r="A45" s="11">
        <v>32</v>
      </c>
      <c r="B45" s="44" t="s">
        <v>1673</v>
      </c>
      <c r="C45" s="45">
        <v>90449789256</v>
      </c>
      <c r="D45" s="44" t="s">
        <v>1674</v>
      </c>
      <c r="E45" s="8">
        <v>44.08</v>
      </c>
      <c r="F45" s="5" t="s">
        <v>10</v>
      </c>
      <c r="G45" s="2" t="s">
        <v>23</v>
      </c>
    </row>
    <row r="46" spans="1:7" x14ac:dyDescent="0.2">
      <c r="A46" s="37">
        <v>33</v>
      </c>
      <c r="B46" s="5" t="s">
        <v>100</v>
      </c>
      <c r="C46" s="11" t="s">
        <v>17</v>
      </c>
      <c r="D46" s="5" t="s">
        <v>17</v>
      </c>
      <c r="E46" s="8">
        <v>281.41000000000003</v>
      </c>
      <c r="F46" s="5" t="s">
        <v>10</v>
      </c>
      <c r="G46" s="2" t="s">
        <v>99</v>
      </c>
    </row>
    <row r="47" spans="1:7" x14ac:dyDescent="0.2">
      <c r="A47" s="11">
        <v>34</v>
      </c>
      <c r="B47" s="5" t="s">
        <v>17</v>
      </c>
      <c r="C47" s="11" t="s">
        <v>17</v>
      </c>
      <c r="D47" s="5" t="s">
        <v>17</v>
      </c>
      <c r="E47" s="8">
        <v>2520</v>
      </c>
      <c r="F47" s="5" t="s">
        <v>10</v>
      </c>
      <c r="G47" s="2" t="s">
        <v>101</v>
      </c>
    </row>
    <row r="48" spans="1:7" x14ac:dyDescent="0.2">
      <c r="A48" s="37">
        <v>35</v>
      </c>
      <c r="B48" s="5" t="s">
        <v>711</v>
      </c>
      <c r="C48" s="11">
        <v>33813961569</v>
      </c>
      <c r="D48" s="5" t="s">
        <v>712</v>
      </c>
      <c r="E48" s="8">
        <v>110.07</v>
      </c>
      <c r="F48" s="5" t="s">
        <v>10</v>
      </c>
      <c r="G48" s="2" t="s">
        <v>112</v>
      </c>
    </row>
    <row r="49" spans="1:9" x14ac:dyDescent="0.2">
      <c r="A49" s="11">
        <v>36</v>
      </c>
      <c r="B49" s="5" t="s">
        <v>1414</v>
      </c>
      <c r="C49" s="11">
        <v>99080771351</v>
      </c>
      <c r="D49" s="5" t="s">
        <v>1415</v>
      </c>
      <c r="E49" s="8">
        <v>150</v>
      </c>
      <c r="F49" s="5" t="s">
        <v>10</v>
      </c>
      <c r="G49" s="2" t="s">
        <v>23</v>
      </c>
    </row>
    <row r="50" spans="1:9" x14ac:dyDescent="0.2">
      <c r="A50" s="37">
        <v>37</v>
      </c>
      <c r="B50" s="5" t="s">
        <v>890</v>
      </c>
      <c r="C50" s="12" t="s">
        <v>892</v>
      </c>
      <c r="D50" s="5" t="s">
        <v>891</v>
      </c>
      <c r="E50" s="8">
        <v>1990</v>
      </c>
      <c r="F50" s="5" t="s">
        <v>10</v>
      </c>
      <c r="G50" s="2" t="s">
        <v>23</v>
      </c>
    </row>
    <row r="51" spans="1:9" x14ac:dyDescent="0.2">
      <c r="A51" s="11">
        <v>38</v>
      </c>
      <c r="B51" s="5" t="s">
        <v>109</v>
      </c>
      <c r="C51" s="11">
        <v>32179081874</v>
      </c>
      <c r="D51" s="5" t="s">
        <v>110</v>
      </c>
      <c r="E51" s="15">
        <f>39.6</f>
        <v>39.6</v>
      </c>
      <c r="F51" s="19" t="s">
        <v>10</v>
      </c>
      <c r="G51" s="28" t="s">
        <v>23</v>
      </c>
    </row>
    <row r="52" spans="1:9" ht="12.75" thickBot="1" x14ac:dyDescent="0.25">
      <c r="A52" s="37">
        <v>39</v>
      </c>
      <c r="B52" s="23" t="s">
        <v>113</v>
      </c>
      <c r="C52" s="24">
        <v>76173743169</v>
      </c>
      <c r="D52" s="23" t="s">
        <v>111</v>
      </c>
      <c r="E52" s="8">
        <f>33.18+652.47</f>
        <v>685.65</v>
      </c>
      <c r="F52" s="23" t="s">
        <v>10</v>
      </c>
      <c r="G52" s="2" t="s">
        <v>108</v>
      </c>
    </row>
    <row r="53" spans="1:9" x14ac:dyDescent="0.2">
      <c r="A53" s="84">
        <v>40</v>
      </c>
      <c r="B53" s="82" t="s">
        <v>119</v>
      </c>
      <c r="C53" s="84">
        <v>34976993601</v>
      </c>
      <c r="D53" s="82" t="s">
        <v>120</v>
      </c>
      <c r="E53" s="16">
        <f>384.62+266.11</f>
        <v>650.73</v>
      </c>
      <c r="F53" s="82" t="s">
        <v>10</v>
      </c>
      <c r="G53" s="31" t="s">
        <v>118</v>
      </c>
    </row>
    <row r="54" spans="1:9" ht="12.75" thickBot="1" x14ac:dyDescent="0.25">
      <c r="A54" s="85"/>
      <c r="B54" s="83"/>
      <c r="C54" s="85"/>
      <c r="D54" s="83"/>
      <c r="E54" s="18">
        <v>477.23</v>
      </c>
      <c r="F54" s="83"/>
      <c r="G54" s="32" t="s">
        <v>287</v>
      </c>
    </row>
    <row r="55" spans="1:9" x14ac:dyDescent="0.2">
      <c r="A55" s="37">
        <v>41</v>
      </c>
      <c r="B55" s="33" t="s">
        <v>17</v>
      </c>
      <c r="C55" s="37" t="s">
        <v>17</v>
      </c>
      <c r="D55" s="33" t="s">
        <v>17</v>
      </c>
      <c r="E55" s="17">
        <v>1753.1</v>
      </c>
      <c r="F55" s="33" t="s">
        <v>10</v>
      </c>
      <c r="G55" s="34" t="s">
        <v>121</v>
      </c>
    </row>
    <row r="56" spans="1:9" x14ac:dyDescent="0.2">
      <c r="A56" s="11">
        <v>42</v>
      </c>
      <c r="B56" s="5" t="s">
        <v>17</v>
      </c>
      <c r="C56" s="11" t="s">
        <v>17</v>
      </c>
      <c r="D56" s="5" t="s">
        <v>17</v>
      </c>
      <c r="E56" s="8">
        <v>26033.59</v>
      </c>
      <c r="F56" s="5" t="s">
        <v>10</v>
      </c>
      <c r="G56" s="2" t="s">
        <v>122</v>
      </c>
    </row>
    <row r="57" spans="1:9" x14ac:dyDescent="0.2">
      <c r="A57" s="11">
        <v>43</v>
      </c>
      <c r="B57" s="5" t="s">
        <v>1675</v>
      </c>
      <c r="C57" s="11">
        <v>97241351516</v>
      </c>
      <c r="D57" s="5" t="s">
        <v>1676</v>
      </c>
      <c r="E57" s="8">
        <v>37.5</v>
      </c>
      <c r="F57" s="5" t="s">
        <v>10</v>
      </c>
      <c r="G57" s="2" t="s">
        <v>23</v>
      </c>
    </row>
    <row r="58" spans="1:9" x14ac:dyDescent="0.2">
      <c r="A58" s="11">
        <v>44</v>
      </c>
      <c r="B58" s="23" t="s">
        <v>132</v>
      </c>
      <c r="C58" s="24">
        <v>81793146560</v>
      </c>
      <c r="D58" s="23" t="s">
        <v>133</v>
      </c>
      <c r="E58" s="8">
        <f>2081.19</f>
        <v>2081.19</v>
      </c>
      <c r="F58" s="5" t="s">
        <v>10</v>
      </c>
      <c r="G58" s="2" t="s">
        <v>292</v>
      </c>
    </row>
    <row r="59" spans="1:9" x14ac:dyDescent="0.2">
      <c r="A59" s="11">
        <v>45</v>
      </c>
      <c r="B59" s="5" t="s">
        <v>1677</v>
      </c>
      <c r="C59" s="11">
        <v>25350790195</v>
      </c>
      <c r="D59" s="5" t="s">
        <v>1678</v>
      </c>
      <c r="E59" s="8">
        <v>15.55</v>
      </c>
      <c r="F59" s="5" t="s">
        <v>10</v>
      </c>
      <c r="G59" s="2" t="s">
        <v>23</v>
      </c>
      <c r="I59" s="13"/>
    </row>
    <row r="60" spans="1:9" x14ac:dyDescent="0.2">
      <c r="A60" s="11">
        <v>46</v>
      </c>
      <c r="B60" s="5" t="s">
        <v>546</v>
      </c>
      <c r="C60" s="11">
        <v>56717147376</v>
      </c>
      <c r="D60" s="5" t="s">
        <v>547</v>
      </c>
      <c r="E60" s="8">
        <f>2698.15</f>
        <v>2698.15</v>
      </c>
      <c r="F60" s="5" t="s">
        <v>10</v>
      </c>
      <c r="G60" s="2" t="s">
        <v>23</v>
      </c>
    </row>
    <row r="61" spans="1:9" x14ac:dyDescent="0.2">
      <c r="A61" s="11">
        <v>47</v>
      </c>
      <c r="B61" s="5" t="s">
        <v>1679</v>
      </c>
      <c r="C61" s="11">
        <v>55232200465</v>
      </c>
      <c r="D61" s="5" t="s">
        <v>1680</v>
      </c>
      <c r="E61" s="8">
        <v>1098.6099999999999</v>
      </c>
      <c r="F61" s="5" t="s">
        <v>10</v>
      </c>
      <c r="G61" s="2" t="s">
        <v>455</v>
      </c>
    </row>
    <row r="62" spans="1:9" x14ac:dyDescent="0.2">
      <c r="A62" s="11">
        <v>48</v>
      </c>
      <c r="B62" s="5" t="s">
        <v>138</v>
      </c>
      <c r="C62" s="11">
        <v>46163832762</v>
      </c>
      <c r="D62" s="5" t="s">
        <v>202</v>
      </c>
      <c r="E62" s="8">
        <v>259.73</v>
      </c>
      <c r="F62" s="5" t="s">
        <v>10</v>
      </c>
      <c r="G62" s="2" t="s">
        <v>112</v>
      </c>
    </row>
    <row r="63" spans="1:9" x14ac:dyDescent="0.2">
      <c r="A63" s="11">
        <v>49</v>
      </c>
      <c r="B63" s="5" t="s">
        <v>140</v>
      </c>
      <c r="C63" s="11">
        <v>41412434130</v>
      </c>
      <c r="D63" s="5" t="s">
        <v>197</v>
      </c>
      <c r="E63" s="8">
        <v>67.28</v>
      </c>
      <c r="F63" s="5" t="s">
        <v>10</v>
      </c>
      <c r="G63" s="2" t="s">
        <v>112</v>
      </c>
    </row>
    <row r="64" spans="1:9" x14ac:dyDescent="0.2">
      <c r="A64" s="11">
        <v>50</v>
      </c>
      <c r="B64" s="5" t="s">
        <v>1681</v>
      </c>
      <c r="C64" s="11">
        <v>65125199414</v>
      </c>
      <c r="D64" s="5" t="s">
        <v>1682</v>
      </c>
      <c r="E64" s="8">
        <v>406</v>
      </c>
      <c r="F64" s="5" t="s">
        <v>10</v>
      </c>
      <c r="G64" s="2" t="s">
        <v>176</v>
      </c>
      <c r="I64" s="13"/>
    </row>
    <row r="65" spans="1:9" x14ac:dyDescent="0.2">
      <c r="A65" s="11">
        <v>51</v>
      </c>
      <c r="B65" s="5" t="s">
        <v>142</v>
      </c>
      <c r="C65" s="12" t="s">
        <v>203</v>
      </c>
      <c r="D65" s="5" t="s">
        <v>204</v>
      </c>
      <c r="E65" s="8">
        <f>79.35+79.35</f>
        <v>158.69999999999999</v>
      </c>
      <c r="F65" s="5" t="s">
        <v>10</v>
      </c>
      <c r="G65" s="2" t="s">
        <v>112</v>
      </c>
    </row>
    <row r="66" spans="1:9" ht="12.75" thickBot="1" x14ac:dyDescent="0.25">
      <c r="A66" s="11">
        <v>52</v>
      </c>
      <c r="B66" s="19" t="s">
        <v>1683</v>
      </c>
      <c r="C66" s="36">
        <v>53831000731</v>
      </c>
      <c r="D66" s="19" t="s">
        <v>1684</v>
      </c>
      <c r="E66" s="15">
        <v>806.96</v>
      </c>
      <c r="F66" s="19" t="s">
        <v>10</v>
      </c>
      <c r="G66" s="28" t="s">
        <v>505</v>
      </c>
    </row>
    <row r="67" spans="1:9" ht="15" customHeight="1" x14ac:dyDescent="0.2">
      <c r="A67" s="84">
        <v>53</v>
      </c>
      <c r="B67" s="82" t="s">
        <v>144</v>
      </c>
      <c r="C67" s="84" t="s">
        <v>740</v>
      </c>
      <c r="D67" s="82" t="s">
        <v>740</v>
      </c>
      <c r="E67" s="16">
        <v>172.53</v>
      </c>
      <c r="F67" s="97" t="s">
        <v>10</v>
      </c>
      <c r="G67" s="31" t="s">
        <v>505</v>
      </c>
    </row>
    <row r="68" spans="1:9" ht="12.75" thickBot="1" x14ac:dyDescent="0.25">
      <c r="A68" s="85"/>
      <c r="B68" s="83"/>
      <c r="C68" s="85"/>
      <c r="D68" s="83"/>
      <c r="E68" s="18">
        <v>1176</v>
      </c>
      <c r="F68" s="98"/>
      <c r="G68" s="32" t="s">
        <v>145</v>
      </c>
    </row>
    <row r="69" spans="1:9" x14ac:dyDescent="0.2">
      <c r="A69" s="84">
        <v>54</v>
      </c>
      <c r="B69" s="94" t="s">
        <v>868</v>
      </c>
      <c r="C69" s="84">
        <v>11374156664</v>
      </c>
      <c r="D69" s="94" t="s">
        <v>869</v>
      </c>
      <c r="E69" s="16">
        <v>3904.69</v>
      </c>
      <c r="F69" s="97" t="s">
        <v>10</v>
      </c>
      <c r="G69" s="31" t="s">
        <v>147</v>
      </c>
    </row>
    <row r="70" spans="1:9" ht="15.75" customHeight="1" thickBot="1" x14ac:dyDescent="0.25">
      <c r="A70" s="85"/>
      <c r="B70" s="96"/>
      <c r="C70" s="85"/>
      <c r="D70" s="96"/>
      <c r="E70" s="18">
        <v>955.2</v>
      </c>
      <c r="F70" s="98"/>
      <c r="G70" s="32" t="s">
        <v>23</v>
      </c>
    </row>
    <row r="71" spans="1:9" x14ac:dyDescent="0.2">
      <c r="A71" s="37">
        <v>55</v>
      </c>
      <c r="B71" s="33" t="s">
        <v>405</v>
      </c>
      <c r="C71" s="37">
        <v>38411868043</v>
      </c>
      <c r="D71" s="33" t="s">
        <v>406</v>
      </c>
      <c r="E71" s="17">
        <f>2196.25+5000</f>
        <v>7196.25</v>
      </c>
      <c r="F71" s="33" t="s">
        <v>10</v>
      </c>
      <c r="G71" s="34" t="s">
        <v>23</v>
      </c>
    </row>
    <row r="72" spans="1:9" x14ac:dyDescent="0.2">
      <c r="A72" s="11">
        <v>56</v>
      </c>
      <c r="B72" s="5" t="s">
        <v>282</v>
      </c>
      <c r="C72" s="11">
        <v>55175013491</v>
      </c>
      <c r="D72" s="5" t="s">
        <v>283</v>
      </c>
      <c r="E72" s="8">
        <f>5117.65</f>
        <v>5117.6499999999996</v>
      </c>
      <c r="F72" s="5" t="s">
        <v>10</v>
      </c>
      <c r="G72" s="2" t="s">
        <v>23</v>
      </c>
    </row>
    <row r="73" spans="1:9" x14ac:dyDescent="0.2">
      <c r="A73" s="11">
        <v>57</v>
      </c>
      <c r="B73" s="5" t="s">
        <v>364</v>
      </c>
      <c r="C73" s="11">
        <v>42769559951</v>
      </c>
      <c r="D73" s="5" t="s">
        <v>365</v>
      </c>
      <c r="E73" s="8">
        <f>10000</f>
        <v>10000</v>
      </c>
      <c r="F73" s="5" t="s">
        <v>10</v>
      </c>
      <c r="G73" s="2" t="s">
        <v>23</v>
      </c>
    </row>
    <row r="74" spans="1:9" x14ac:dyDescent="0.2">
      <c r="A74" s="11">
        <v>58</v>
      </c>
      <c r="B74" s="5" t="s">
        <v>857</v>
      </c>
      <c r="C74" s="11">
        <v>29035933600</v>
      </c>
      <c r="D74" s="5" t="s">
        <v>447</v>
      </c>
      <c r="E74" s="8">
        <v>733.41</v>
      </c>
      <c r="F74" s="5" t="s">
        <v>10</v>
      </c>
      <c r="G74" s="2" t="s">
        <v>263</v>
      </c>
    </row>
    <row r="75" spans="1:9" x14ac:dyDescent="0.2">
      <c r="A75" s="11">
        <v>59</v>
      </c>
      <c r="B75" s="5" t="s">
        <v>157</v>
      </c>
      <c r="C75" s="11" t="s">
        <v>216</v>
      </c>
      <c r="D75" s="5" t="s">
        <v>158</v>
      </c>
      <c r="E75" s="8">
        <f>2850+19795.96+22579.94+9795.96</f>
        <v>55021.859999999993</v>
      </c>
      <c r="F75" s="5" t="s">
        <v>10</v>
      </c>
      <c r="G75" s="2" t="s">
        <v>23</v>
      </c>
    </row>
    <row r="76" spans="1:9" x14ac:dyDescent="0.2">
      <c r="A76" s="11">
        <v>60</v>
      </c>
      <c r="B76" s="5" t="s">
        <v>1685</v>
      </c>
      <c r="C76" s="11" t="s">
        <v>1686</v>
      </c>
      <c r="D76" s="5" t="s">
        <v>1687</v>
      </c>
      <c r="E76" s="8">
        <v>103170.06</v>
      </c>
      <c r="F76" s="5" t="s">
        <v>10</v>
      </c>
      <c r="G76" s="2" t="s">
        <v>23</v>
      </c>
    </row>
    <row r="77" spans="1:9" x14ac:dyDescent="0.2">
      <c r="A77" s="11">
        <v>61</v>
      </c>
      <c r="B77" s="5" t="s">
        <v>296</v>
      </c>
      <c r="C77" s="11">
        <v>83416546499</v>
      </c>
      <c r="D77" s="5" t="s">
        <v>299</v>
      </c>
      <c r="E77" s="8">
        <v>37.49</v>
      </c>
      <c r="F77" s="5" t="s">
        <v>10</v>
      </c>
      <c r="G77" s="2" t="s">
        <v>64</v>
      </c>
    </row>
    <row r="78" spans="1:9" x14ac:dyDescent="0.2">
      <c r="A78" s="11">
        <v>62</v>
      </c>
      <c r="B78" s="19" t="s">
        <v>407</v>
      </c>
      <c r="C78" s="36">
        <v>89027343720</v>
      </c>
      <c r="D78" s="19" t="s">
        <v>408</v>
      </c>
      <c r="E78" s="15">
        <f>171.79+1244.93+79.63</f>
        <v>1496.35</v>
      </c>
      <c r="F78" s="19" t="s">
        <v>10</v>
      </c>
      <c r="G78" s="28" t="s">
        <v>23</v>
      </c>
    </row>
    <row r="79" spans="1:9" x14ac:dyDescent="0.2">
      <c r="A79" s="11">
        <v>63</v>
      </c>
      <c r="B79" s="44" t="s">
        <v>170</v>
      </c>
      <c r="C79" s="45">
        <v>52233171260</v>
      </c>
      <c r="D79" s="44" t="s">
        <v>224</v>
      </c>
      <c r="E79" s="8">
        <f>3200+3160.5+1600+1210</f>
        <v>9170.5</v>
      </c>
      <c r="F79" s="44" t="s">
        <v>10</v>
      </c>
      <c r="G79" s="2" t="s">
        <v>23</v>
      </c>
    </row>
    <row r="80" spans="1:9" x14ac:dyDescent="0.2">
      <c r="A80" s="11">
        <v>64</v>
      </c>
      <c r="B80" s="27" t="s">
        <v>168</v>
      </c>
      <c r="C80" s="26">
        <v>87682591133</v>
      </c>
      <c r="D80" s="27" t="s">
        <v>223</v>
      </c>
      <c r="E80" s="17">
        <f>1625.85+8043.79+23625+6055</f>
        <v>39349.64</v>
      </c>
      <c r="F80" s="27" t="s">
        <v>10</v>
      </c>
      <c r="G80" s="34" t="s">
        <v>23</v>
      </c>
      <c r="I80" s="13"/>
    </row>
    <row r="81" spans="1:9" x14ac:dyDescent="0.2">
      <c r="A81" s="11">
        <v>65</v>
      </c>
      <c r="B81" s="58" t="s">
        <v>169</v>
      </c>
      <c r="C81" s="37">
        <v>19849957757</v>
      </c>
      <c r="D81" s="58" t="s">
        <v>225</v>
      </c>
      <c r="E81" s="17">
        <f>6970.83+20066.3+2623+2672.33</f>
        <v>32332.46</v>
      </c>
      <c r="F81" s="58" t="s">
        <v>10</v>
      </c>
      <c r="G81" s="34" t="s">
        <v>23</v>
      </c>
    </row>
    <row r="82" spans="1:9" x14ac:dyDescent="0.2">
      <c r="A82" s="11">
        <v>66</v>
      </c>
      <c r="B82" s="5" t="s">
        <v>730</v>
      </c>
      <c r="C82" s="11">
        <v>85821130368</v>
      </c>
      <c r="D82" s="5" t="s">
        <v>731</v>
      </c>
      <c r="E82" s="8">
        <v>16.600000000000001</v>
      </c>
      <c r="F82" s="27" t="s">
        <v>10</v>
      </c>
      <c r="G82" s="2" t="s">
        <v>176</v>
      </c>
    </row>
    <row r="83" spans="1:9" x14ac:dyDescent="0.2">
      <c r="A83" s="11">
        <v>67</v>
      </c>
      <c r="B83" s="5" t="s">
        <v>154</v>
      </c>
      <c r="C83" s="11">
        <v>33001753417</v>
      </c>
      <c r="D83" s="5" t="s">
        <v>213</v>
      </c>
      <c r="E83" s="8">
        <f>367.5+1825</f>
        <v>2192.5</v>
      </c>
      <c r="F83" s="5" t="s">
        <v>10</v>
      </c>
      <c r="G83" s="2" t="s">
        <v>23</v>
      </c>
    </row>
    <row r="84" spans="1:9" x14ac:dyDescent="0.2">
      <c r="A84" s="11">
        <v>68</v>
      </c>
      <c r="B84" s="5" t="s">
        <v>17</v>
      </c>
      <c r="C84" s="11" t="s">
        <v>17</v>
      </c>
      <c r="D84" s="5" t="s">
        <v>17</v>
      </c>
      <c r="E84" s="8">
        <f>1400+19575.49+1400+1400</f>
        <v>23775.49</v>
      </c>
      <c r="F84" s="5" t="s">
        <v>10</v>
      </c>
      <c r="G84" s="2" t="s">
        <v>177</v>
      </c>
    </row>
    <row r="85" spans="1:9" x14ac:dyDescent="0.2">
      <c r="A85" s="11">
        <v>69</v>
      </c>
      <c r="B85" s="19" t="s">
        <v>17</v>
      </c>
      <c r="C85" s="36" t="s">
        <v>17</v>
      </c>
      <c r="D85" s="19" t="s">
        <v>17</v>
      </c>
      <c r="E85" s="15">
        <v>2961.93</v>
      </c>
      <c r="F85" s="19" t="s">
        <v>10</v>
      </c>
      <c r="G85" s="28" t="s">
        <v>178</v>
      </c>
    </row>
    <row r="86" spans="1:9" x14ac:dyDescent="0.2">
      <c r="A86" s="11">
        <v>70</v>
      </c>
      <c r="B86" s="5" t="s">
        <v>187</v>
      </c>
      <c r="C86" s="11">
        <v>22694857747</v>
      </c>
      <c r="D86" s="5" t="s">
        <v>239</v>
      </c>
      <c r="E86" s="8">
        <v>1346.78</v>
      </c>
      <c r="F86" s="5" t="s">
        <v>10</v>
      </c>
      <c r="G86" s="2" t="s">
        <v>188</v>
      </c>
    </row>
    <row r="87" spans="1:9" x14ac:dyDescent="0.2">
      <c r="A87" s="11">
        <v>71</v>
      </c>
      <c r="B87" s="5" t="s">
        <v>230</v>
      </c>
      <c r="C87" s="11">
        <v>62969535840</v>
      </c>
      <c r="D87" s="5" t="s">
        <v>231</v>
      </c>
      <c r="E87" s="20">
        <f>39.7+158.49</f>
        <v>198.19</v>
      </c>
      <c r="F87" s="40" t="s">
        <v>10</v>
      </c>
      <c r="G87" s="41" t="s">
        <v>23</v>
      </c>
    </row>
    <row r="88" spans="1:9" x14ac:dyDescent="0.2">
      <c r="A88" s="11">
        <v>72</v>
      </c>
      <c r="B88" s="5" t="s">
        <v>704</v>
      </c>
      <c r="C88" s="11">
        <v>11294943436</v>
      </c>
      <c r="D88" s="5" t="s">
        <v>705</v>
      </c>
      <c r="E88" s="8">
        <v>91.65</v>
      </c>
      <c r="F88" s="5" t="s">
        <v>10</v>
      </c>
      <c r="G88" s="2" t="s">
        <v>112</v>
      </c>
    </row>
    <row r="89" spans="1:9" x14ac:dyDescent="0.2">
      <c r="A89" s="11">
        <v>73</v>
      </c>
      <c r="B89" s="5" t="s">
        <v>676</v>
      </c>
      <c r="C89" s="11" t="s">
        <v>677</v>
      </c>
      <c r="D89" s="5" t="s">
        <v>678</v>
      </c>
      <c r="E89" s="8">
        <f>93.3+93.76</f>
        <v>187.06</v>
      </c>
      <c r="F89" s="5" t="s">
        <v>10</v>
      </c>
      <c r="G89" s="2" t="s">
        <v>23</v>
      </c>
    </row>
    <row r="90" spans="1:9" x14ac:dyDescent="0.2">
      <c r="A90" s="11">
        <v>74</v>
      </c>
      <c r="B90" s="5" t="s">
        <v>17</v>
      </c>
      <c r="C90" s="11" t="s">
        <v>17</v>
      </c>
      <c r="D90" s="5" t="s">
        <v>17</v>
      </c>
      <c r="E90" s="8">
        <v>413.44</v>
      </c>
      <c r="F90" s="5" t="s">
        <v>10</v>
      </c>
      <c r="G90" s="2" t="s">
        <v>194</v>
      </c>
    </row>
    <row r="91" spans="1:9" x14ac:dyDescent="0.2">
      <c r="A91" s="11">
        <v>75</v>
      </c>
      <c r="B91" s="5" t="s">
        <v>242</v>
      </c>
      <c r="C91" s="11">
        <v>49800593791</v>
      </c>
      <c r="D91" s="5" t="s">
        <v>244</v>
      </c>
      <c r="E91" s="8">
        <f>3582.54+221.25+5112.5+9706.25+1506.25</f>
        <v>20128.79</v>
      </c>
      <c r="F91" s="5" t="s">
        <v>10</v>
      </c>
      <c r="G91" s="2" t="s">
        <v>243</v>
      </c>
    </row>
    <row r="92" spans="1:9" x14ac:dyDescent="0.2">
      <c r="A92" s="11">
        <v>76</v>
      </c>
      <c r="B92" s="44" t="s">
        <v>248</v>
      </c>
      <c r="C92" s="45">
        <v>47428597158</v>
      </c>
      <c r="D92" s="44" t="s">
        <v>250</v>
      </c>
      <c r="E92" s="8">
        <f>231+2837.81+1336.25</f>
        <v>4405.0599999999995</v>
      </c>
      <c r="F92" s="44" t="s">
        <v>10</v>
      </c>
      <c r="G92" s="2" t="s">
        <v>23</v>
      </c>
      <c r="I92" s="13"/>
    </row>
    <row r="93" spans="1:9" x14ac:dyDescent="0.2">
      <c r="A93" s="11">
        <v>77</v>
      </c>
      <c r="B93" s="5" t="s">
        <v>252</v>
      </c>
      <c r="C93" s="12" t="s">
        <v>254</v>
      </c>
      <c r="D93" s="5" t="s">
        <v>253</v>
      </c>
      <c r="E93" s="8">
        <v>316.75</v>
      </c>
      <c r="F93" s="5" t="s">
        <v>10</v>
      </c>
      <c r="G93" s="2" t="s">
        <v>112</v>
      </c>
    </row>
    <row r="94" spans="1:9" x14ac:dyDescent="0.2">
      <c r="A94" s="11">
        <v>78</v>
      </c>
      <c r="B94" s="5" t="s">
        <v>1070</v>
      </c>
      <c r="C94" s="11">
        <v>73294314024</v>
      </c>
      <c r="D94" s="5" t="s">
        <v>675</v>
      </c>
      <c r="E94" s="8">
        <f>729.26+184.63</f>
        <v>913.89</v>
      </c>
      <c r="F94" s="5" t="s">
        <v>10</v>
      </c>
      <c r="G94" s="2" t="s">
        <v>662</v>
      </c>
    </row>
    <row r="95" spans="1:9" x14ac:dyDescent="0.2">
      <c r="A95" s="11">
        <v>79</v>
      </c>
      <c r="B95" s="5" t="s">
        <v>265</v>
      </c>
      <c r="C95" s="11">
        <v>63988426425</v>
      </c>
      <c r="D95" s="5" t="s">
        <v>266</v>
      </c>
      <c r="E95" s="8">
        <f>1310.13+978.75+176.25+5522.19+30304.45</f>
        <v>38291.770000000004</v>
      </c>
      <c r="F95" s="5" t="s">
        <v>10</v>
      </c>
      <c r="G95" s="2" t="s">
        <v>23</v>
      </c>
    </row>
    <row r="96" spans="1:9" x14ac:dyDescent="0.2">
      <c r="A96" s="11">
        <v>80</v>
      </c>
      <c r="B96" s="5" t="s">
        <v>1150</v>
      </c>
      <c r="C96" s="11">
        <v>75989437093</v>
      </c>
      <c r="D96" s="5" t="s">
        <v>1151</v>
      </c>
      <c r="E96" s="8">
        <f>58.5</f>
        <v>58.5</v>
      </c>
      <c r="F96" s="5" t="s">
        <v>10</v>
      </c>
      <c r="G96" s="2" t="s">
        <v>23</v>
      </c>
    </row>
    <row r="97" spans="1:10" x14ac:dyDescent="0.2">
      <c r="A97" s="11">
        <v>81</v>
      </c>
      <c r="B97" s="23" t="s">
        <v>131</v>
      </c>
      <c r="C97" s="24">
        <v>70133616033</v>
      </c>
      <c r="D97" s="23" t="s">
        <v>134</v>
      </c>
      <c r="E97" s="8">
        <v>2303.56</v>
      </c>
      <c r="F97" s="5" t="s">
        <v>10</v>
      </c>
      <c r="G97" s="2" t="s">
        <v>292</v>
      </c>
    </row>
    <row r="98" spans="1:10" x14ac:dyDescent="0.2">
      <c r="A98" s="11">
        <v>82</v>
      </c>
      <c r="B98" s="50" t="s">
        <v>293</v>
      </c>
      <c r="C98" s="45">
        <v>65952859647</v>
      </c>
      <c r="D98" s="44" t="s">
        <v>295</v>
      </c>
      <c r="E98" s="8">
        <f>15280+28181.25+44061.25+9122.58+10000</f>
        <v>106645.08</v>
      </c>
      <c r="F98" s="50" t="s">
        <v>10</v>
      </c>
      <c r="G98" s="2" t="s">
        <v>23</v>
      </c>
    </row>
    <row r="99" spans="1:10" x14ac:dyDescent="0.2">
      <c r="A99" s="11">
        <v>83</v>
      </c>
      <c r="B99" s="5" t="s">
        <v>284</v>
      </c>
      <c r="C99" s="11">
        <v>10235187780</v>
      </c>
      <c r="D99" s="5" t="s">
        <v>286</v>
      </c>
      <c r="E99" s="8">
        <v>354.3</v>
      </c>
      <c r="F99" s="5" t="s">
        <v>10</v>
      </c>
      <c r="G99" s="2" t="s">
        <v>285</v>
      </c>
    </row>
    <row r="100" spans="1:10" x14ac:dyDescent="0.2">
      <c r="A100" s="11">
        <v>84</v>
      </c>
      <c r="B100" s="5" t="s">
        <v>301</v>
      </c>
      <c r="C100" s="11">
        <v>60314119747</v>
      </c>
      <c r="D100" s="5" t="s">
        <v>298</v>
      </c>
      <c r="E100" s="8">
        <f>23913.29+20000+20157.55+52748.03+9025.43+30785.63</f>
        <v>156629.93</v>
      </c>
      <c r="F100" s="5" t="s">
        <v>10</v>
      </c>
      <c r="G100" s="2" t="s">
        <v>23</v>
      </c>
    </row>
    <row r="101" spans="1:10" x14ac:dyDescent="0.2">
      <c r="A101" s="11">
        <v>85</v>
      </c>
      <c r="B101" s="5" t="s">
        <v>308</v>
      </c>
      <c r="C101" s="12" t="s">
        <v>310</v>
      </c>
      <c r="D101" s="5" t="s">
        <v>309</v>
      </c>
      <c r="E101" s="8">
        <f>9262.5+9296.25+2150+3448.75+1000</f>
        <v>25157.5</v>
      </c>
      <c r="F101" s="5" t="s">
        <v>10</v>
      </c>
      <c r="G101" s="2" t="s">
        <v>23</v>
      </c>
    </row>
    <row r="102" spans="1:10" x14ac:dyDescent="0.2">
      <c r="A102" s="11">
        <v>86</v>
      </c>
      <c r="B102" s="5" t="s">
        <v>311</v>
      </c>
      <c r="C102" s="11">
        <v>95243482140</v>
      </c>
      <c r="D102" s="5" t="s">
        <v>312</v>
      </c>
      <c r="E102" s="8">
        <f>601.26+295.06+1735.72+971.91+2.5+98.15</f>
        <v>3704.6</v>
      </c>
      <c r="F102" s="5" t="s">
        <v>10</v>
      </c>
      <c r="G102" s="2" t="s">
        <v>23</v>
      </c>
    </row>
    <row r="103" spans="1:10" x14ac:dyDescent="0.2">
      <c r="A103" s="11">
        <v>87</v>
      </c>
      <c r="B103" s="5" t="s">
        <v>321</v>
      </c>
      <c r="C103" s="11">
        <v>66346732180</v>
      </c>
      <c r="D103" s="5" t="s">
        <v>322</v>
      </c>
      <c r="E103" s="8">
        <f>275</f>
        <v>275</v>
      </c>
      <c r="F103" s="5" t="s">
        <v>10</v>
      </c>
      <c r="G103" s="2" t="s">
        <v>243</v>
      </c>
    </row>
    <row r="104" spans="1:10" x14ac:dyDescent="0.2">
      <c r="A104" s="11">
        <v>88</v>
      </c>
      <c r="B104" s="5" t="s">
        <v>1011</v>
      </c>
      <c r="C104" s="11">
        <v>57270798205</v>
      </c>
      <c r="D104" s="5" t="s">
        <v>1012</v>
      </c>
      <c r="E104" s="8">
        <f>498.56</f>
        <v>498.56</v>
      </c>
      <c r="F104" s="5" t="s">
        <v>10</v>
      </c>
      <c r="G104" s="2" t="s">
        <v>12</v>
      </c>
    </row>
    <row r="105" spans="1:10" x14ac:dyDescent="0.2">
      <c r="A105" s="11">
        <v>89</v>
      </c>
      <c r="B105" s="5" t="s">
        <v>88</v>
      </c>
      <c r="C105" s="11">
        <v>42889250808</v>
      </c>
      <c r="D105" s="5" t="s">
        <v>90</v>
      </c>
      <c r="E105" s="8">
        <v>85.1</v>
      </c>
      <c r="F105" s="5" t="s">
        <v>10</v>
      </c>
      <c r="G105" s="2" t="s">
        <v>86</v>
      </c>
    </row>
    <row r="106" spans="1:10" x14ac:dyDescent="0.2">
      <c r="A106" s="11">
        <v>90</v>
      </c>
      <c r="B106" s="5" t="s">
        <v>341</v>
      </c>
      <c r="C106" s="11">
        <v>78969071801</v>
      </c>
      <c r="D106" s="5" t="s">
        <v>342</v>
      </c>
      <c r="E106" s="8">
        <f>50.4+1794.8</f>
        <v>1845.2</v>
      </c>
      <c r="F106" s="5" t="s">
        <v>10</v>
      </c>
      <c r="G106" s="2" t="s">
        <v>23</v>
      </c>
      <c r="J106" s="13"/>
    </row>
    <row r="107" spans="1:10" x14ac:dyDescent="0.2">
      <c r="A107" s="11">
        <v>91</v>
      </c>
      <c r="B107" s="5" t="s">
        <v>508</v>
      </c>
      <c r="C107" s="11">
        <v>47590958254</v>
      </c>
      <c r="D107" s="5" t="s">
        <v>510</v>
      </c>
      <c r="E107" s="8">
        <v>42.5</v>
      </c>
      <c r="F107" s="5" t="s">
        <v>10</v>
      </c>
      <c r="G107" s="2" t="s">
        <v>287</v>
      </c>
      <c r="J107" s="13"/>
    </row>
    <row r="108" spans="1:10" x14ac:dyDescent="0.2">
      <c r="A108" s="11">
        <v>92</v>
      </c>
      <c r="B108" s="5" t="s">
        <v>361</v>
      </c>
      <c r="C108" s="11">
        <v>86742905038</v>
      </c>
      <c r="D108" s="5" t="s">
        <v>363</v>
      </c>
      <c r="E108" s="8">
        <v>297.5</v>
      </c>
      <c r="F108" s="5" t="s">
        <v>10</v>
      </c>
      <c r="G108" s="2" t="s">
        <v>287</v>
      </c>
      <c r="J108" s="13"/>
    </row>
    <row r="109" spans="1:10" x14ac:dyDescent="0.2">
      <c r="A109" s="11">
        <v>93</v>
      </c>
      <c r="B109" s="5" t="s">
        <v>842</v>
      </c>
      <c r="C109" s="11">
        <v>15533693916</v>
      </c>
      <c r="D109" s="5" t="s">
        <v>843</v>
      </c>
      <c r="E109" s="8">
        <f>1695+620</f>
        <v>2315</v>
      </c>
      <c r="F109" s="5" t="s">
        <v>10</v>
      </c>
      <c r="G109" s="2" t="s">
        <v>23</v>
      </c>
      <c r="J109" s="13"/>
    </row>
    <row r="110" spans="1:10" x14ac:dyDescent="0.2">
      <c r="A110" s="11">
        <v>94</v>
      </c>
      <c r="B110" s="5" t="s">
        <v>432</v>
      </c>
      <c r="C110" s="11">
        <v>48633701387</v>
      </c>
      <c r="D110" s="5" t="s">
        <v>433</v>
      </c>
      <c r="E110" s="8">
        <f>64.69+13.72</f>
        <v>78.41</v>
      </c>
      <c r="F110" s="5" t="s">
        <v>10</v>
      </c>
      <c r="G110" s="2" t="s">
        <v>23</v>
      </c>
    </row>
    <row r="111" spans="1:10" x14ac:dyDescent="0.2">
      <c r="A111" s="11">
        <v>95</v>
      </c>
      <c r="B111" s="5" t="s">
        <v>374</v>
      </c>
      <c r="C111" s="11">
        <v>48249084626</v>
      </c>
      <c r="D111" s="5" t="s">
        <v>375</v>
      </c>
      <c r="E111" s="8">
        <f>731.99+150.61+1676.64</f>
        <v>2559.2400000000002</v>
      </c>
      <c r="F111" s="5" t="s">
        <v>10</v>
      </c>
      <c r="G111" s="2" t="s">
        <v>23</v>
      </c>
    </row>
    <row r="112" spans="1:10" x14ac:dyDescent="0.2">
      <c r="A112" s="11">
        <v>96</v>
      </c>
      <c r="B112" s="5" t="s">
        <v>372</v>
      </c>
      <c r="C112" s="11">
        <v>64021574271</v>
      </c>
      <c r="D112" s="5" t="s">
        <v>373</v>
      </c>
      <c r="E112" s="8">
        <f>93.56+1295.63</f>
        <v>1389.19</v>
      </c>
      <c r="F112" s="5" t="s">
        <v>10</v>
      </c>
      <c r="G112" s="2" t="s">
        <v>23</v>
      </c>
    </row>
    <row r="113" spans="1:7" x14ac:dyDescent="0.2">
      <c r="A113" s="11">
        <v>97</v>
      </c>
      <c r="B113" s="5" t="s">
        <v>386</v>
      </c>
      <c r="C113" s="11">
        <v>60365429880</v>
      </c>
      <c r="D113" s="5" t="s">
        <v>387</v>
      </c>
      <c r="E113" s="8">
        <f>118.13+703.81+34.44</f>
        <v>856.37999999999988</v>
      </c>
      <c r="F113" s="5" t="s">
        <v>10</v>
      </c>
      <c r="G113" s="2" t="s">
        <v>23</v>
      </c>
    </row>
    <row r="114" spans="1:7" x14ac:dyDescent="0.2">
      <c r="A114" s="11">
        <v>98</v>
      </c>
      <c r="B114" s="5" t="s">
        <v>391</v>
      </c>
      <c r="C114" s="11">
        <v>37879152548</v>
      </c>
      <c r="D114" s="5" t="s">
        <v>392</v>
      </c>
      <c r="E114" s="8">
        <f>875.76+2411.28</f>
        <v>3287.04</v>
      </c>
      <c r="F114" s="5" t="s">
        <v>10</v>
      </c>
      <c r="G114" s="2" t="s">
        <v>23</v>
      </c>
    </row>
    <row r="115" spans="1:7" x14ac:dyDescent="0.2">
      <c r="A115" s="11">
        <v>99</v>
      </c>
      <c r="B115" s="5" t="s">
        <v>459</v>
      </c>
      <c r="C115" s="11">
        <v>64008199572</v>
      </c>
      <c r="D115" s="5" t="s">
        <v>460</v>
      </c>
      <c r="E115" s="8">
        <f>2216.17</f>
        <v>2216.17</v>
      </c>
      <c r="F115" s="5" t="s">
        <v>10</v>
      </c>
      <c r="G115" s="2" t="s">
        <v>23</v>
      </c>
    </row>
    <row r="116" spans="1:7" x14ac:dyDescent="0.2">
      <c r="A116" s="11">
        <v>100</v>
      </c>
      <c r="B116" s="5" t="s">
        <v>395</v>
      </c>
      <c r="C116" s="11">
        <v>39048902955</v>
      </c>
      <c r="D116" s="5" t="s">
        <v>396</v>
      </c>
      <c r="E116" s="8">
        <v>860.57</v>
      </c>
      <c r="F116" s="5" t="s">
        <v>10</v>
      </c>
      <c r="G116" s="2" t="s">
        <v>64</v>
      </c>
    </row>
    <row r="117" spans="1:7" x14ac:dyDescent="0.2">
      <c r="A117" s="11">
        <v>101</v>
      </c>
      <c r="B117" s="5" t="s">
        <v>397</v>
      </c>
      <c r="C117" s="11">
        <v>85375838060</v>
      </c>
      <c r="D117" s="5" t="s">
        <v>398</v>
      </c>
      <c r="E117" s="8">
        <v>356.88</v>
      </c>
      <c r="F117" s="5" t="s">
        <v>10</v>
      </c>
      <c r="G117" s="2" t="s">
        <v>64</v>
      </c>
    </row>
    <row r="118" spans="1:7" x14ac:dyDescent="0.2">
      <c r="A118" s="11">
        <v>102</v>
      </c>
      <c r="B118" s="5" t="s">
        <v>709</v>
      </c>
      <c r="C118" s="11">
        <v>34604734054</v>
      </c>
      <c r="D118" s="5" t="s">
        <v>710</v>
      </c>
      <c r="E118" s="8">
        <f>59.06+68.94</f>
        <v>128</v>
      </c>
      <c r="F118" s="5" t="s">
        <v>10</v>
      </c>
      <c r="G118" s="2" t="s">
        <v>330</v>
      </c>
    </row>
    <row r="119" spans="1:7" x14ac:dyDescent="0.2">
      <c r="A119" s="11">
        <v>103</v>
      </c>
      <c r="B119" s="5" t="s">
        <v>526</v>
      </c>
      <c r="C119" s="11">
        <v>13534526502</v>
      </c>
      <c r="D119" s="5" t="s">
        <v>527</v>
      </c>
      <c r="E119" s="8">
        <v>754.1</v>
      </c>
      <c r="F119" s="5" t="s">
        <v>10</v>
      </c>
      <c r="G119" s="2" t="s">
        <v>23</v>
      </c>
    </row>
    <row r="120" spans="1:7" x14ac:dyDescent="0.2">
      <c r="A120" s="11">
        <v>104</v>
      </c>
      <c r="B120" s="5" t="s">
        <v>559</v>
      </c>
      <c r="C120" s="11">
        <v>80523849112</v>
      </c>
      <c r="D120" s="5" t="s">
        <v>560</v>
      </c>
      <c r="E120" s="8">
        <v>276.75</v>
      </c>
      <c r="F120" s="5" t="s">
        <v>10</v>
      </c>
      <c r="G120" s="2" t="s">
        <v>23</v>
      </c>
    </row>
    <row r="121" spans="1:7" x14ac:dyDescent="0.2">
      <c r="A121" s="11">
        <v>105</v>
      </c>
      <c r="B121" s="5" t="s">
        <v>533</v>
      </c>
      <c r="C121" s="11">
        <v>7882320813</v>
      </c>
      <c r="D121" s="5" t="s">
        <v>534</v>
      </c>
      <c r="E121" s="8">
        <v>1174.25</v>
      </c>
      <c r="F121" s="5" t="s">
        <v>10</v>
      </c>
      <c r="G121" s="2" t="s">
        <v>367</v>
      </c>
    </row>
    <row r="122" spans="1:7" x14ac:dyDescent="0.2">
      <c r="A122" s="11">
        <v>106</v>
      </c>
      <c r="B122" s="5" t="s">
        <v>339</v>
      </c>
      <c r="C122" s="11">
        <v>22740118957</v>
      </c>
      <c r="D122" s="5" t="s">
        <v>340</v>
      </c>
      <c r="E122" s="8">
        <f>1282+1513</f>
        <v>2795</v>
      </c>
      <c r="F122" s="5" t="s">
        <v>10</v>
      </c>
      <c r="G122" s="2" t="s">
        <v>23</v>
      </c>
    </row>
    <row r="123" spans="1:7" x14ac:dyDescent="0.2">
      <c r="A123" s="11">
        <v>107</v>
      </c>
      <c r="B123" s="5" t="s">
        <v>571</v>
      </c>
      <c r="C123" s="11">
        <v>75202805533</v>
      </c>
      <c r="D123" s="5" t="s">
        <v>588</v>
      </c>
      <c r="E123" s="8">
        <v>404.03</v>
      </c>
      <c r="F123" s="5" t="s">
        <v>10</v>
      </c>
      <c r="G123" s="2" t="s">
        <v>23</v>
      </c>
    </row>
    <row r="124" spans="1:7" ht="12.75" customHeight="1" x14ac:dyDescent="0.2">
      <c r="A124" s="11">
        <v>108</v>
      </c>
      <c r="B124" s="5" t="s">
        <v>693</v>
      </c>
      <c r="C124" s="11" t="s">
        <v>694</v>
      </c>
      <c r="D124" s="5" t="s">
        <v>695</v>
      </c>
      <c r="E124" s="15">
        <f>2441.95+3000</f>
        <v>5441.95</v>
      </c>
      <c r="F124" s="19" t="s">
        <v>10</v>
      </c>
      <c r="G124" s="28" t="s">
        <v>23</v>
      </c>
    </row>
    <row r="125" spans="1:7" ht="12.75" customHeight="1" x14ac:dyDescent="0.2">
      <c r="A125" s="11">
        <v>109</v>
      </c>
      <c r="B125" s="5" t="s">
        <v>409</v>
      </c>
      <c r="C125" s="11">
        <v>17145318195</v>
      </c>
      <c r="D125" s="5" t="s">
        <v>410</v>
      </c>
      <c r="E125" s="15">
        <v>1161.1099999999999</v>
      </c>
      <c r="F125" s="19" t="s">
        <v>10</v>
      </c>
      <c r="G125" s="28" t="s">
        <v>23</v>
      </c>
    </row>
    <row r="126" spans="1:7" ht="12.75" customHeight="1" x14ac:dyDescent="0.2">
      <c r="A126" s="11">
        <v>110</v>
      </c>
      <c r="B126" s="5" t="s">
        <v>1688</v>
      </c>
      <c r="C126" s="11">
        <v>49820804455</v>
      </c>
      <c r="D126" s="5" t="s">
        <v>1689</v>
      </c>
      <c r="E126" s="15">
        <v>23612.5</v>
      </c>
      <c r="F126" s="19" t="s">
        <v>10</v>
      </c>
      <c r="G126" s="28" t="s">
        <v>147</v>
      </c>
    </row>
    <row r="127" spans="1:7" ht="12.75" customHeight="1" x14ac:dyDescent="0.2">
      <c r="A127" s="11">
        <v>111</v>
      </c>
      <c r="B127" s="5" t="s">
        <v>166</v>
      </c>
      <c r="C127" s="11">
        <v>70922745348</v>
      </c>
      <c r="D127" s="5" t="s">
        <v>167</v>
      </c>
      <c r="E127" s="8">
        <v>918.75</v>
      </c>
      <c r="F127" s="5" t="s">
        <v>10</v>
      </c>
      <c r="G127" s="2" t="s">
        <v>23</v>
      </c>
    </row>
    <row r="128" spans="1:7" ht="12.75" customHeight="1" x14ac:dyDescent="0.2">
      <c r="A128" s="11">
        <v>112</v>
      </c>
      <c r="B128" s="5" t="s">
        <v>491</v>
      </c>
      <c r="C128" s="11" t="s">
        <v>492</v>
      </c>
      <c r="D128" s="5" t="s">
        <v>493</v>
      </c>
      <c r="E128" s="8">
        <v>731.28</v>
      </c>
      <c r="F128" s="5" t="s">
        <v>10</v>
      </c>
      <c r="G128" s="2" t="s">
        <v>23</v>
      </c>
    </row>
    <row r="129" spans="1:7" ht="12.75" customHeight="1" x14ac:dyDescent="0.2">
      <c r="A129" s="11">
        <v>113</v>
      </c>
      <c r="B129" s="5" t="s">
        <v>288</v>
      </c>
      <c r="C129" s="11">
        <v>41044313807</v>
      </c>
      <c r="D129" s="5" t="s">
        <v>289</v>
      </c>
      <c r="E129" s="15">
        <v>3107.36</v>
      </c>
      <c r="F129" s="19" t="s">
        <v>10</v>
      </c>
      <c r="G129" s="28" t="s">
        <v>86</v>
      </c>
    </row>
    <row r="130" spans="1:7" ht="12.75" customHeight="1" x14ac:dyDescent="0.2">
      <c r="A130" s="11">
        <v>114</v>
      </c>
      <c r="B130" s="5" t="s">
        <v>899</v>
      </c>
      <c r="C130" s="11" t="s">
        <v>901</v>
      </c>
      <c r="D130" s="5" t="s">
        <v>900</v>
      </c>
      <c r="E130" s="15">
        <v>1340.5</v>
      </c>
      <c r="F130" s="19" t="s">
        <v>10</v>
      </c>
      <c r="G130" s="28" t="s">
        <v>23</v>
      </c>
    </row>
    <row r="131" spans="1:7" ht="12.75" customHeight="1" x14ac:dyDescent="0.2">
      <c r="A131" s="11">
        <v>115</v>
      </c>
      <c r="B131" s="5" t="s">
        <v>966</v>
      </c>
      <c r="C131" s="12">
        <v>72662515745</v>
      </c>
      <c r="D131" s="5" t="s">
        <v>967</v>
      </c>
      <c r="E131" s="15">
        <v>142.5</v>
      </c>
      <c r="F131" s="19" t="s">
        <v>10</v>
      </c>
      <c r="G131" s="28" t="s">
        <v>23</v>
      </c>
    </row>
    <row r="132" spans="1:7" ht="12.75" customHeight="1" x14ac:dyDescent="0.2">
      <c r="A132" s="11">
        <v>116</v>
      </c>
      <c r="B132" s="5" t="s">
        <v>25</v>
      </c>
      <c r="C132" s="11">
        <v>73660371074</v>
      </c>
      <c r="D132" s="5" t="s">
        <v>38</v>
      </c>
      <c r="E132" s="8">
        <f>102.97+15.9</f>
        <v>118.87</v>
      </c>
      <c r="F132" s="5" t="s">
        <v>10</v>
      </c>
      <c r="G132" s="2" t="s">
        <v>23</v>
      </c>
    </row>
    <row r="133" spans="1:7" ht="12.75" customHeight="1" x14ac:dyDescent="0.2">
      <c r="A133" s="11">
        <v>117</v>
      </c>
      <c r="B133" s="44" t="s">
        <v>181</v>
      </c>
      <c r="C133" s="45">
        <v>71642207963</v>
      </c>
      <c r="D133" s="44" t="s">
        <v>232</v>
      </c>
      <c r="E133" s="8">
        <v>60.5</v>
      </c>
      <c r="F133" s="5" t="s">
        <v>10</v>
      </c>
      <c r="G133" s="2" t="s">
        <v>23</v>
      </c>
    </row>
    <row r="134" spans="1:7" ht="12.75" customHeight="1" x14ac:dyDescent="0.2">
      <c r="A134" s="11">
        <v>118</v>
      </c>
      <c r="B134" s="5" t="s">
        <v>347</v>
      </c>
      <c r="C134" s="11">
        <v>51892779522</v>
      </c>
      <c r="D134" s="5" t="s">
        <v>348</v>
      </c>
      <c r="E134" s="8">
        <v>1372.5</v>
      </c>
      <c r="F134" s="5" t="s">
        <v>10</v>
      </c>
      <c r="G134" s="2" t="s">
        <v>23</v>
      </c>
    </row>
    <row r="135" spans="1:7" ht="12.75" customHeight="1" x14ac:dyDescent="0.2">
      <c r="A135" s="11">
        <v>119</v>
      </c>
      <c r="B135" s="5" t="s">
        <v>255</v>
      </c>
      <c r="C135" s="11">
        <v>62964458165</v>
      </c>
      <c r="D135" s="5" t="s">
        <v>256</v>
      </c>
      <c r="E135" s="8">
        <v>2833.61</v>
      </c>
      <c r="F135" s="5" t="s">
        <v>10</v>
      </c>
      <c r="G135" s="2" t="s">
        <v>23</v>
      </c>
    </row>
    <row r="136" spans="1:7" ht="12.75" customHeight="1" x14ac:dyDescent="0.2">
      <c r="A136" s="11">
        <v>120</v>
      </c>
      <c r="B136" s="19" t="s">
        <v>1690</v>
      </c>
      <c r="C136" s="43">
        <v>13278612358</v>
      </c>
      <c r="D136" s="19" t="s">
        <v>1691</v>
      </c>
      <c r="E136" s="15">
        <f>75+137.5</f>
        <v>212.5</v>
      </c>
      <c r="F136" s="19" t="s">
        <v>10</v>
      </c>
      <c r="G136" s="28" t="s">
        <v>243</v>
      </c>
    </row>
    <row r="137" spans="1:7" ht="12.75" customHeight="1" x14ac:dyDescent="0.2">
      <c r="A137" s="11">
        <v>121</v>
      </c>
      <c r="B137" s="19" t="s">
        <v>1692</v>
      </c>
      <c r="C137" s="43" t="s">
        <v>1693</v>
      </c>
      <c r="D137" s="19" t="s">
        <v>1694</v>
      </c>
      <c r="E137" s="15">
        <v>1025.9000000000001</v>
      </c>
      <c r="F137" s="19" t="s">
        <v>10</v>
      </c>
      <c r="G137" s="28" t="s">
        <v>23</v>
      </c>
    </row>
    <row r="138" spans="1:7" ht="12.75" customHeight="1" x14ac:dyDescent="0.2">
      <c r="A138" s="11">
        <v>122</v>
      </c>
      <c r="B138" s="5" t="s">
        <v>1546</v>
      </c>
      <c r="C138" s="11">
        <v>24467257339</v>
      </c>
      <c r="D138" s="5" t="s">
        <v>1547</v>
      </c>
      <c r="E138" s="8">
        <f>149.63+282.63+114</f>
        <v>546.26</v>
      </c>
      <c r="F138" s="5" t="s">
        <v>10</v>
      </c>
      <c r="G138" s="2" t="s">
        <v>287</v>
      </c>
    </row>
    <row r="139" spans="1:7" ht="12.75" customHeight="1" x14ac:dyDescent="0.2">
      <c r="A139" s="11">
        <v>123</v>
      </c>
      <c r="B139" s="5" t="s">
        <v>753</v>
      </c>
      <c r="C139" s="11">
        <v>93475459627</v>
      </c>
      <c r="D139" s="5" t="s">
        <v>754</v>
      </c>
      <c r="E139" s="8">
        <f>129.26+136.13</f>
        <v>265.39</v>
      </c>
      <c r="F139" s="5" t="s">
        <v>10</v>
      </c>
      <c r="G139" s="2" t="s">
        <v>23</v>
      </c>
    </row>
    <row r="140" spans="1:7" ht="12.75" customHeight="1" x14ac:dyDescent="0.2">
      <c r="A140" s="11">
        <v>124</v>
      </c>
      <c r="B140" s="5" t="s">
        <v>548</v>
      </c>
      <c r="C140" s="11">
        <v>26950396239</v>
      </c>
      <c r="D140" s="5" t="s">
        <v>549</v>
      </c>
      <c r="E140" s="8">
        <v>1097.5</v>
      </c>
      <c r="F140" s="5" t="s">
        <v>10</v>
      </c>
      <c r="G140" s="2" t="s">
        <v>23</v>
      </c>
    </row>
    <row r="141" spans="1:7" ht="12.75" customHeight="1" x14ac:dyDescent="0.2">
      <c r="A141" s="11">
        <v>125</v>
      </c>
      <c r="B141" s="5" t="s">
        <v>393</v>
      </c>
      <c r="C141" s="11">
        <v>90439696130</v>
      </c>
      <c r="D141" s="5" t="s">
        <v>394</v>
      </c>
      <c r="E141" s="8">
        <f>580.95+60.8</f>
        <v>641.75</v>
      </c>
      <c r="F141" s="5" t="s">
        <v>10</v>
      </c>
      <c r="G141" s="2" t="s">
        <v>23</v>
      </c>
    </row>
    <row r="142" spans="1:7" ht="12.75" customHeight="1" x14ac:dyDescent="0.2">
      <c r="A142" s="11">
        <v>126</v>
      </c>
      <c r="B142" s="5" t="s">
        <v>380</v>
      </c>
      <c r="C142" s="11">
        <v>52641439848</v>
      </c>
      <c r="D142" s="5" t="s">
        <v>381</v>
      </c>
      <c r="E142" s="8">
        <v>137.59</v>
      </c>
      <c r="F142" s="5" t="s">
        <v>10</v>
      </c>
      <c r="G142" s="2" t="s">
        <v>23</v>
      </c>
    </row>
    <row r="143" spans="1:7" ht="12.75" customHeight="1" x14ac:dyDescent="0.2">
      <c r="A143" s="11">
        <v>127</v>
      </c>
      <c r="B143" s="5" t="s">
        <v>837</v>
      </c>
      <c r="C143" s="11">
        <v>84515892678</v>
      </c>
      <c r="D143" s="5" t="s">
        <v>838</v>
      </c>
      <c r="E143" s="8">
        <v>250</v>
      </c>
      <c r="F143" s="5" t="s">
        <v>10</v>
      </c>
      <c r="G143" s="2" t="s">
        <v>23</v>
      </c>
    </row>
    <row r="144" spans="1:7" ht="12.75" customHeight="1" x14ac:dyDescent="0.2">
      <c r="A144" s="11">
        <v>128</v>
      </c>
      <c r="B144" s="5" t="s">
        <v>812</v>
      </c>
      <c r="C144" s="11">
        <v>93716144137</v>
      </c>
      <c r="D144" s="5" t="s">
        <v>813</v>
      </c>
      <c r="E144" s="8">
        <v>448.75</v>
      </c>
      <c r="F144" s="5" t="s">
        <v>10</v>
      </c>
      <c r="G144" s="2" t="s">
        <v>23</v>
      </c>
    </row>
    <row r="145" spans="1:7" ht="12.75" customHeight="1" x14ac:dyDescent="0.2">
      <c r="A145" s="11">
        <v>129</v>
      </c>
      <c r="B145" s="5" t="s">
        <v>1177</v>
      </c>
      <c r="C145" s="11">
        <v>86252349701</v>
      </c>
      <c r="D145" s="5" t="s">
        <v>1178</v>
      </c>
      <c r="E145" s="8">
        <v>400</v>
      </c>
      <c r="F145" s="5" t="s">
        <v>10</v>
      </c>
      <c r="G145" s="2" t="s">
        <v>23</v>
      </c>
    </row>
    <row r="146" spans="1:7" ht="12.75" customHeight="1" x14ac:dyDescent="0.2">
      <c r="A146" s="11">
        <v>130</v>
      </c>
      <c r="B146" s="5" t="s">
        <v>1275</v>
      </c>
      <c r="C146" s="12">
        <v>54948902275</v>
      </c>
      <c r="D146" s="5" t="s">
        <v>212</v>
      </c>
      <c r="E146" s="8">
        <v>419.9</v>
      </c>
      <c r="F146" s="5" t="s">
        <v>10</v>
      </c>
      <c r="G146" s="2" t="s">
        <v>449</v>
      </c>
    </row>
    <row r="147" spans="1:7" ht="12.75" customHeight="1" x14ac:dyDescent="0.2">
      <c r="A147" s="11">
        <v>131</v>
      </c>
      <c r="B147" s="5" t="s">
        <v>1340</v>
      </c>
      <c r="C147" s="11">
        <v>39963036018</v>
      </c>
      <c r="D147" s="5" t="s">
        <v>1341</v>
      </c>
      <c r="E147" s="8">
        <v>1625</v>
      </c>
      <c r="F147" s="5" t="s">
        <v>10</v>
      </c>
      <c r="G147" s="2" t="s">
        <v>23</v>
      </c>
    </row>
    <row r="148" spans="1:7" ht="12.75" customHeight="1" x14ac:dyDescent="0.2">
      <c r="A148" s="11">
        <v>132</v>
      </c>
      <c r="B148" s="19" t="s">
        <v>844</v>
      </c>
      <c r="C148" s="36">
        <v>99940897955</v>
      </c>
      <c r="D148" s="19" t="s">
        <v>845</v>
      </c>
      <c r="E148" s="15">
        <v>425</v>
      </c>
      <c r="F148" s="19" t="s">
        <v>10</v>
      </c>
      <c r="G148" s="28" t="s">
        <v>23</v>
      </c>
    </row>
    <row r="149" spans="1:7" ht="12.75" customHeight="1" x14ac:dyDescent="0.2">
      <c r="A149" s="11">
        <v>133</v>
      </c>
      <c r="B149" s="19" t="s">
        <v>1695</v>
      </c>
      <c r="C149" s="36">
        <v>99160128239</v>
      </c>
      <c r="D149" s="19" t="s">
        <v>1696</v>
      </c>
      <c r="E149" s="15">
        <v>275.58</v>
      </c>
      <c r="F149" s="19" t="s">
        <v>10</v>
      </c>
      <c r="G149" s="28" t="s">
        <v>23</v>
      </c>
    </row>
    <row r="150" spans="1:7" ht="12.75" customHeight="1" x14ac:dyDescent="0.2">
      <c r="A150" s="11">
        <v>134</v>
      </c>
      <c r="B150" s="19" t="s">
        <v>1697</v>
      </c>
      <c r="C150" s="36">
        <v>80201525824</v>
      </c>
      <c r="D150" s="19" t="s">
        <v>1698</v>
      </c>
      <c r="E150" s="15">
        <f>1190.4+2018.75</f>
        <v>3209.15</v>
      </c>
      <c r="F150" s="19" t="s">
        <v>10</v>
      </c>
      <c r="G150" s="28" t="s">
        <v>23</v>
      </c>
    </row>
    <row r="151" spans="1:7" ht="12.75" customHeight="1" x14ac:dyDescent="0.2">
      <c r="A151" s="11">
        <v>135</v>
      </c>
      <c r="B151" s="19" t="s">
        <v>1699</v>
      </c>
      <c r="C151" s="36">
        <v>58168663318</v>
      </c>
      <c r="D151" s="19" t="s">
        <v>1700</v>
      </c>
      <c r="E151" s="15">
        <v>15.83</v>
      </c>
      <c r="F151" s="19" t="s">
        <v>10</v>
      </c>
      <c r="G151" s="28" t="s">
        <v>23</v>
      </c>
    </row>
    <row r="152" spans="1:7" ht="12.75" customHeight="1" x14ac:dyDescent="0.2">
      <c r="A152" s="11">
        <v>136</v>
      </c>
      <c r="B152" s="19" t="s">
        <v>1701</v>
      </c>
      <c r="C152" s="36">
        <v>17221338662</v>
      </c>
      <c r="D152" s="19" t="s">
        <v>1702</v>
      </c>
      <c r="E152" s="15">
        <v>146</v>
      </c>
      <c r="F152" s="19" t="s">
        <v>10</v>
      </c>
      <c r="G152" s="28" t="s">
        <v>287</v>
      </c>
    </row>
    <row r="153" spans="1:7" ht="12.75" customHeight="1" x14ac:dyDescent="0.2">
      <c r="A153" s="11">
        <v>137</v>
      </c>
      <c r="B153" s="19" t="s">
        <v>1703</v>
      </c>
      <c r="C153" s="36">
        <v>23088119851</v>
      </c>
      <c r="D153" s="19" t="s">
        <v>1704</v>
      </c>
      <c r="E153" s="15">
        <v>375</v>
      </c>
      <c r="F153" s="19" t="s">
        <v>10</v>
      </c>
      <c r="G153" s="28" t="s">
        <v>287</v>
      </c>
    </row>
    <row r="154" spans="1:7" ht="12.75" customHeight="1" x14ac:dyDescent="0.2">
      <c r="A154" s="11">
        <v>138</v>
      </c>
      <c r="B154" s="19" t="s">
        <v>1534</v>
      </c>
      <c r="C154" s="36">
        <v>70914161709</v>
      </c>
      <c r="D154" s="19" t="s">
        <v>1705</v>
      </c>
      <c r="E154" s="15">
        <v>131.25</v>
      </c>
      <c r="F154" s="19" t="s">
        <v>10</v>
      </c>
      <c r="G154" s="28" t="s">
        <v>287</v>
      </c>
    </row>
    <row r="155" spans="1:7" ht="12.75" customHeight="1" x14ac:dyDescent="0.2">
      <c r="A155" s="11">
        <v>139</v>
      </c>
      <c r="B155" s="19" t="s">
        <v>1706</v>
      </c>
      <c r="C155" s="36">
        <v>53769098448</v>
      </c>
      <c r="D155" s="19" t="s">
        <v>1707</v>
      </c>
      <c r="E155" s="15">
        <v>65.2</v>
      </c>
      <c r="F155" s="19" t="s">
        <v>10</v>
      </c>
      <c r="G155" s="28" t="s">
        <v>23</v>
      </c>
    </row>
    <row r="156" spans="1:7" ht="12.75" customHeight="1" x14ac:dyDescent="0.2">
      <c r="A156" s="11">
        <v>140</v>
      </c>
      <c r="B156" s="5" t="s">
        <v>1708</v>
      </c>
      <c r="C156" s="11">
        <v>91943782088</v>
      </c>
      <c r="D156" s="5" t="s">
        <v>1437</v>
      </c>
      <c r="E156" s="15">
        <v>39.6</v>
      </c>
      <c r="F156" s="19" t="s">
        <v>10</v>
      </c>
      <c r="G156" s="28" t="s">
        <v>176</v>
      </c>
    </row>
    <row r="157" spans="1:7" ht="12.75" customHeight="1" x14ac:dyDescent="0.2">
      <c r="A157" s="11">
        <v>141</v>
      </c>
      <c r="B157" s="5" t="s">
        <v>658</v>
      </c>
      <c r="C157" s="11">
        <v>24846301629</v>
      </c>
      <c r="D157" s="5" t="s">
        <v>659</v>
      </c>
      <c r="E157" s="15">
        <v>81.94</v>
      </c>
      <c r="F157" s="19" t="s">
        <v>10</v>
      </c>
      <c r="G157" s="28" t="s">
        <v>23</v>
      </c>
    </row>
    <row r="158" spans="1:7" ht="12.75" customHeight="1" x14ac:dyDescent="0.2">
      <c r="A158" s="11">
        <v>142</v>
      </c>
      <c r="B158" s="5" t="s">
        <v>759</v>
      </c>
      <c r="C158" s="11">
        <v>71008774672</v>
      </c>
      <c r="D158" s="5" t="s">
        <v>760</v>
      </c>
      <c r="E158" s="8">
        <f>4469.31+3166.2</f>
        <v>7635.51</v>
      </c>
      <c r="F158" s="5" t="s">
        <v>10</v>
      </c>
      <c r="G158" s="2" t="s">
        <v>23</v>
      </c>
    </row>
    <row r="159" spans="1:7" ht="12.75" customHeight="1" x14ac:dyDescent="0.2">
      <c r="A159" s="11">
        <v>143</v>
      </c>
      <c r="B159" s="5" t="s">
        <v>1709</v>
      </c>
      <c r="C159" s="11">
        <v>20884742495</v>
      </c>
      <c r="D159" s="5" t="s">
        <v>1710</v>
      </c>
      <c r="E159" s="15">
        <v>80.05</v>
      </c>
      <c r="F159" s="19" t="s">
        <v>10</v>
      </c>
      <c r="G159" s="28" t="s">
        <v>23</v>
      </c>
    </row>
    <row r="160" spans="1:7" ht="12.75" customHeight="1" x14ac:dyDescent="0.2">
      <c r="A160" s="11">
        <v>144</v>
      </c>
      <c r="B160" s="5" t="s">
        <v>1711</v>
      </c>
      <c r="C160" s="11">
        <v>78170814407</v>
      </c>
      <c r="D160" s="5" t="s">
        <v>1712</v>
      </c>
      <c r="E160" s="15">
        <v>67.83</v>
      </c>
      <c r="F160" s="19" t="s">
        <v>10</v>
      </c>
      <c r="G160" s="28" t="s">
        <v>23</v>
      </c>
    </row>
    <row r="161" spans="1:7" ht="12.75" customHeight="1" x14ac:dyDescent="0.2">
      <c r="A161" s="11">
        <v>145</v>
      </c>
      <c r="B161" s="5" t="s">
        <v>1713</v>
      </c>
      <c r="C161" s="11">
        <v>91904453728</v>
      </c>
      <c r="D161" s="5" t="s">
        <v>1714</v>
      </c>
      <c r="E161" s="15">
        <v>14.63</v>
      </c>
      <c r="F161" s="19" t="s">
        <v>10</v>
      </c>
      <c r="G161" s="28" t="s">
        <v>23</v>
      </c>
    </row>
    <row r="162" spans="1:7" ht="12.75" customHeight="1" x14ac:dyDescent="0.2">
      <c r="A162" s="11">
        <v>146</v>
      </c>
      <c r="B162" s="5" t="s">
        <v>1505</v>
      </c>
      <c r="C162" s="11">
        <v>31206452221</v>
      </c>
      <c r="D162" s="5" t="s">
        <v>1506</v>
      </c>
      <c r="E162" s="15">
        <v>104.2</v>
      </c>
      <c r="F162" s="19" t="s">
        <v>10</v>
      </c>
      <c r="G162" s="28" t="s">
        <v>23</v>
      </c>
    </row>
    <row r="163" spans="1:7" ht="12.75" customHeight="1" x14ac:dyDescent="0.2">
      <c r="A163" s="11">
        <v>147</v>
      </c>
      <c r="B163" s="5" t="s">
        <v>1715</v>
      </c>
      <c r="C163" s="12" t="s">
        <v>1716</v>
      </c>
      <c r="D163" s="5" t="s">
        <v>1303</v>
      </c>
      <c r="E163" s="15">
        <v>161.6</v>
      </c>
      <c r="F163" s="19" t="s">
        <v>10</v>
      </c>
      <c r="G163" s="28" t="s">
        <v>1717</v>
      </c>
    </row>
    <row r="164" spans="1:7" x14ac:dyDescent="0.2">
      <c r="A164" s="11">
        <v>148</v>
      </c>
      <c r="B164" s="5" t="s">
        <v>1718</v>
      </c>
      <c r="C164" s="11">
        <v>55583164585</v>
      </c>
      <c r="D164" s="5" t="s">
        <v>1719</v>
      </c>
      <c r="E164" s="8">
        <v>129.69999999999999</v>
      </c>
      <c r="F164" s="5" t="s">
        <v>10</v>
      </c>
      <c r="G164" s="2" t="s">
        <v>173</v>
      </c>
    </row>
    <row r="165" spans="1:7" x14ac:dyDescent="0.2">
      <c r="A165" s="11">
        <v>149</v>
      </c>
      <c r="B165" s="5" t="s">
        <v>724</v>
      </c>
      <c r="C165" s="11">
        <v>97304721774</v>
      </c>
      <c r="D165" s="5" t="s">
        <v>725</v>
      </c>
      <c r="E165" s="8">
        <v>1058.75</v>
      </c>
      <c r="F165" s="5" t="s">
        <v>10</v>
      </c>
      <c r="G165" s="2" t="s">
        <v>23</v>
      </c>
    </row>
    <row r="166" spans="1:7" x14ac:dyDescent="0.2">
      <c r="A166" s="11">
        <v>150</v>
      </c>
      <c r="B166" s="5" t="s">
        <v>680</v>
      </c>
      <c r="C166" s="11">
        <v>82510351433</v>
      </c>
      <c r="D166" s="5" t="s">
        <v>681</v>
      </c>
      <c r="E166" s="8">
        <f>54.75+26.33</f>
        <v>81.08</v>
      </c>
      <c r="F166" s="5" t="s">
        <v>10</v>
      </c>
      <c r="G166" s="2" t="s">
        <v>23</v>
      </c>
    </row>
    <row r="167" spans="1:7" x14ac:dyDescent="0.2">
      <c r="A167" s="11">
        <v>151</v>
      </c>
      <c r="B167" s="5" t="s">
        <v>587</v>
      </c>
      <c r="C167" s="11" t="s">
        <v>612</v>
      </c>
      <c r="D167" s="5" t="s">
        <v>611</v>
      </c>
      <c r="E167" s="8">
        <f>6071.1+2000+2000</f>
        <v>10071.1</v>
      </c>
      <c r="F167" s="5" t="s">
        <v>10</v>
      </c>
      <c r="G167" s="2" t="s">
        <v>23</v>
      </c>
    </row>
    <row r="168" spans="1:7" x14ac:dyDescent="0.2">
      <c r="A168" s="11">
        <v>152</v>
      </c>
      <c r="B168" s="5" t="s">
        <v>454</v>
      </c>
      <c r="C168" s="11">
        <v>21748984734</v>
      </c>
      <c r="D168" s="5" t="s">
        <v>456</v>
      </c>
      <c r="E168" s="8">
        <f>887.5+339.15</f>
        <v>1226.6500000000001</v>
      </c>
      <c r="F168" s="5" t="s">
        <v>10</v>
      </c>
      <c r="G168" s="2" t="s">
        <v>455</v>
      </c>
    </row>
    <row r="169" spans="1:7" x14ac:dyDescent="0.2">
      <c r="A169" s="11">
        <v>153</v>
      </c>
      <c r="B169" s="5" t="s">
        <v>973</v>
      </c>
      <c r="C169" s="11">
        <v>79777981902</v>
      </c>
      <c r="D169" s="5" t="s">
        <v>972</v>
      </c>
      <c r="E169" s="8">
        <f>62.06+18.05</f>
        <v>80.11</v>
      </c>
      <c r="F169" s="5" t="s">
        <v>10</v>
      </c>
      <c r="G169" s="2" t="s">
        <v>23</v>
      </c>
    </row>
    <row r="170" spans="1:7" x14ac:dyDescent="0.2">
      <c r="A170" s="11">
        <v>154</v>
      </c>
      <c r="B170" s="5" t="s">
        <v>49</v>
      </c>
      <c r="C170" s="11">
        <v>98138500552</v>
      </c>
      <c r="D170" s="5" t="s">
        <v>50</v>
      </c>
      <c r="E170" s="8">
        <v>2362.5</v>
      </c>
      <c r="F170" s="5" t="s">
        <v>10</v>
      </c>
      <c r="G170" s="2" t="s">
        <v>48</v>
      </c>
    </row>
    <row r="171" spans="1:7" x14ac:dyDescent="0.2">
      <c r="A171" s="11">
        <v>155</v>
      </c>
      <c r="B171" s="5" t="s">
        <v>1720</v>
      </c>
      <c r="C171" s="11">
        <v>37660132091</v>
      </c>
      <c r="D171" s="5" t="s">
        <v>1721</v>
      </c>
      <c r="E171" s="8">
        <v>350</v>
      </c>
      <c r="F171" s="5" t="s">
        <v>10</v>
      </c>
      <c r="G171" s="2" t="s">
        <v>23</v>
      </c>
    </row>
    <row r="172" spans="1:7" x14ac:dyDescent="0.2">
      <c r="A172" s="11">
        <v>156</v>
      </c>
      <c r="B172" s="5" t="s">
        <v>401</v>
      </c>
      <c r="C172" s="11">
        <v>55614719992</v>
      </c>
      <c r="D172" s="5" t="s">
        <v>402</v>
      </c>
      <c r="E172" s="8">
        <f>687.98+1078.5+10.6</f>
        <v>1777.08</v>
      </c>
      <c r="F172" s="5" t="s">
        <v>10</v>
      </c>
      <c r="G172" s="2" t="s">
        <v>23</v>
      </c>
    </row>
    <row r="173" spans="1:7" x14ac:dyDescent="0.2">
      <c r="A173" s="11">
        <v>157</v>
      </c>
      <c r="B173" s="5" t="s">
        <v>1192</v>
      </c>
      <c r="C173" s="11">
        <v>14273924910</v>
      </c>
      <c r="D173" s="5" t="s">
        <v>228</v>
      </c>
      <c r="E173" s="8">
        <f>483.75+483.75</f>
        <v>967.5</v>
      </c>
      <c r="F173" s="5" t="s">
        <v>10</v>
      </c>
      <c r="G173" s="2" t="s">
        <v>176</v>
      </c>
    </row>
    <row r="174" spans="1:7" x14ac:dyDescent="0.2">
      <c r="A174" s="11">
        <v>158</v>
      </c>
      <c r="B174" s="5" t="s">
        <v>439</v>
      </c>
      <c r="C174" s="11">
        <v>48841983787</v>
      </c>
      <c r="D174" s="5" t="s">
        <v>440</v>
      </c>
      <c r="E174" s="8">
        <f>536.25+1125+3650</f>
        <v>5311.25</v>
      </c>
      <c r="F174" s="5" t="s">
        <v>10</v>
      </c>
      <c r="G174" s="2" t="s">
        <v>23</v>
      </c>
    </row>
    <row r="175" spans="1:7" x14ac:dyDescent="0.2">
      <c r="A175" s="11">
        <v>159</v>
      </c>
      <c r="B175" s="5" t="s">
        <v>586</v>
      </c>
      <c r="C175" s="11">
        <v>100299833</v>
      </c>
      <c r="D175" s="5" t="s">
        <v>610</v>
      </c>
      <c r="E175" s="8">
        <f>3640+2564</f>
        <v>6204</v>
      </c>
      <c r="F175" s="5" t="s">
        <v>10</v>
      </c>
      <c r="G175" s="2" t="s">
        <v>23</v>
      </c>
    </row>
    <row r="176" spans="1:7" x14ac:dyDescent="0.2">
      <c r="A176" s="11">
        <v>160</v>
      </c>
      <c r="B176" s="5" t="s">
        <v>382</v>
      </c>
      <c r="C176" s="11">
        <v>76080865307</v>
      </c>
      <c r="D176" s="5" t="s">
        <v>383</v>
      </c>
      <c r="E176" s="8">
        <v>41.36</v>
      </c>
      <c r="F176" s="5" t="s">
        <v>10</v>
      </c>
      <c r="G176" s="2" t="s">
        <v>287</v>
      </c>
    </row>
    <row r="177" spans="1:7" x14ac:dyDescent="0.2">
      <c r="A177" s="11">
        <v>161</v>
      </c>
      <c r="B177" s="5" t="s">
        <v>332</v>
      </c>
      <c r="C177" s="12" t="s">
        <v>334</v>
      </c>
      <c r="D177" s="5" t="s">
        <v>333</v>
      </c>
      <c r="E177" s="8">
        <v>201.65</v>
      </c>
      <c r="F177" s="5" t="s">
        <v>10</v>
      </c>
      <c r="G177" s="2" t="s">
        <v>330</v>
      </c>
    </row>
    <row r="178" spans="1:7" x14ac:dyDescent="0.2">
      <c r="A178" s="11">
        <v>162</v>
      </c>
      <c r="B178" s="5" t="s">
        <v>555</v>
      </c>
      <c r="C178" s="11">
        <v>56733014701</v>
      </c>
      <c r="D178" s="5" t="s">
        <v>556</v>
      </c>
      <c r="E178" s="8">
        <v>2949.5</v>
      </c>
      <c r="F178" s="5" t="s">
        <v>10</v>
      </c>
      <c r="G178" s="2" t="s">
        <v>23</v>
      </c>
    </row>
    <row r="179" spans="1:7" x14ac:dyDescent="0.2">
      <c r="A179" s="11">
        <v>163</v>
      </c>
      <c r="B179" s="5" t="s">
        <v>195</v>
      </c>
      <c r="C179" s="11">
        <v>85621555748</v>
      </c>
      <c r="D179" s="5" t="s">
        <v>241</v>
      </c>
      <c r="E179" s="8">
        <v>219</v>
      </c>
      <c r="F179" s="5" t="s">
        <v>10</v>
      </c>
      <c r="G179" s="2" t="s">
        <v>173</v>
      </c>
    </row>
    <row r="180" spans="1:7" x14ac:dyDescent="0.2">
      <c r="A180" s="11">
        <v>164</v>
      </c>
      <c r="B180" s="19" t="s">
        <v>1316</v>
      </c>
      <c r="C180" s="36">
        <v>86648038250</v>
      </c>
      <c r="D180" s="19" t="s">
        <v>961</v>
      </c>
      <c r="E180" s="15">
        <v>106.25</v>
      </c>
      <c r="F180" s="19" t="s">
        <v>10</v>
      </c>
      <c r="G180" s="28" t="s">
        <v>118</v>
      </c>
    </row>
    <row r="181" spans="1:7" x14ac:dyDescent="0.2">
      <c r="A181" s="11">
        <v>165</v>
      </c>
      <c r="B181" s="50" t="s">
        <v>60</v>
      </c>
      <c r="C181" s="45">
        <v>39901919995</v>
      </c>
      <c r="D181" s="50" t="s">
        <v>72</v>
      </c>
      <c r="E181" s="8">
        <f>5421.42+7351.51</f>
        <v>12772.93</v>
      </c>
      <c r="F181" s="50" t="s">
        <v>10</v>
      </c>
      <c r="G181" s="2" t="s">
        <v>63</v>
      </c>
    </row>
    <row r="182" spans="1:7" x14ac:dyDescent="0.2">
      <c r="A182" s="11">
        <v>166</v>
      </c>
      <c r="B182" s="33" t="s">
        <v>412</v>
      </c>
      <c r="C182" s="37">
        <v>85611744662</v>
      </c>
      <c r="D182" s="33" t="s">
        <v>413</v>
      </c>
      <c r="E182" s="17">
        <f>205.5+392.5</f>
        <v>598</v>
      </c>
      <c r="F182" s="33" t="s">
        <v>10</v>
      </c>
      <c r="G182" s="34" t="s">
        <v>23</v>
      </c>
    </row>
    <row r="183" spans="1:7" x14ac:dyDescent="0.2">
      <c r="A183" s="11">
        <v>167</v>
      </c>
      <c r="B183" s="5" t="s">
        <v>794</v>
      </c>
      <c r="C183" s="11">
        <v>69927324836</v>
      </c>
      <c r="D183" s="5" t="s">
        <v>795</v>
      </c>
      <c r="E183" s="8">
        <v>1440.92</v>
      </c>
      <c r="F183" s="5" t="s">
        <v>10</v>
      </c>
      <c r="G183" s="2" t="s">
        <v>23</v>
      </c>
    </row>
    <row r="184" spans="1:7" x14ac:dyDescent="0.2">
      <c r="A184" s="11">
        <v>168</v>
      </c>
      <c r="B184" s="5" t="s">
        <v>162</v>
      </c>
      <c r="C184" s="11">
        <v>58353015102</v>
      </c>
      <c r="D184" s="5" t="s">
        <v>219</v>
      </c>
      <c r="E184" s="8">
        <v>84.29</v>
      </c>
      <c r="F184" s="5" t="s">
        <v>10</v>
      </c>
      <c r="G184" s="2" t="s">
        <v>130</v>
      </c>
    </row>
    <row r="185" spans="1:7" x14ac:dyDescent="0.2">
      <c r="A185" s="11">
        <v>169</v>
      </c>
      <c r="B185" s="19" t="s">
        <v>494</v>
      </c>
      <c r="C185" s="36">
        <v>54482179263</v>
      </c>
      <c r="D185" s="19" t="s">
        <v>495</v>
      </c>
      <c r="E185" s="15">
        <f>207.6+284.28</f>
        <v>491.88</v>
      </c>
      <c r="F185" s="19" t="s">
        <v>10</v>
      </c>
      <c r="G185" s="28" t="s">
        <v>23</v>
      </c>
    </row>
    <row r="186" spans="1:7" x14ac:dyDescent="0.2">
      <c r="A186" s="11">
        <v>170</v>
      </c>
      <c r="B186" s="44" t="s">
        <v>974</v>
      </c>
      <c r="C186" s="45">
        <v>89984971143</v>
      </c>
      <c r="D186" s="44" t="s">
        <v>975</v>
      </c>
      <c r="E186" s="8">
        <f>19.13+128.5</f>
        <v>147.63</v>
      </c>
      <c r="F186" s="44" t="s">
        <v>10</v>
      </c>
      <c r="G186" s="2" t="s">
        <v>23</v>
      </c>
    </row>
    <row r="187" spans="1:7" x14ac:dyDescent="0.2">
      <c r="A187" s="11">
        <v>171</v>
      </c>
      <c r="B187" s="5" t="s">
        <v>541</v>
      </c>
      <c r="C187" s="11">
        <v>32371574171</v>
      </c>
      <c r="D187" s="5" t="s">
        <v>542</v>
      </c>
      <c r="E187" s="8">
        <f>1250+1750</f>
        <v>3000</v>
      </c>
      <c r="F187" s="5" t="s">
        <v>10</v>
      </c>
      <c r="G187" s="2" t="s">
        <v>243</v>
      </c>
    </row>
    <row r="188" spans="1:7" x14ac:dyDescent="0.2">
      <c r="A188" s="11">
        <v>172</v>
      </c>
      <c r="B188" s="5" t="s">
        <v>87</v>
      </c>
      <c r="C188" s="12" t="s">
        <v>92</v>
      </c>
      <c r="D188" s="5" t="s">
        <v>91</v>
      </c>
      <c r="E188" s="8">
        <f>647.08+1265.13</f>
        <v>1912.21</v>
      </c>
      <c r="F188" s="5" t="s">
        <v>10</v>
      </c>
      <c r="G188" s="2" t="s">
        <v>86</v>
      </c>
    </row>
    <row r="189" spans="1:7" x14ac:dyDescent="0.2">
      <c r="A189" s="11">
        <v>173</v>
      </c>
      <c r="B189" s="19" t="s">
        <v>1148</v>
      </c>
      <c r="C189" s="36">
        <v>48293321289</v>
      </c>
      <c r="D189" s="19" t="s">
        <v>1149</v>
      </c>
      <c r="E189" s="8">
        <f>4000+5000+4000</f>
        <v>13000</v>
      </c>
      <c r="F189" s="5" t="s">
        <v>10</v>
      </c>
      <c r="G189" s="2" t="s">
        <v>23</v>
      </c>
    </row>
    <row r="190" spans="1:7" x14ac:dyDescent="0.2">
      <c r="A190" s="11">
        <v>174</v>
      </c>
      <c r="B190" s="5" t="s">
        <v>441</v>
      </c>
      <c r="C190" s="11">
        <v>12443607100</v>
      </c>
      <c r="D190" s="5" t="s">
        <v>442</v>
      </c>
      <c r="E190" s="8">
        <v>4025</v>
      </c>
      <c r="F190" s="5" t="s">
        <v>10</v>
      </c>
      <c r="G190" s="2" t="s">
        <v>23</v>
      </c>
    </row>
    <row r="191" spans="1:7" x14ac:dyDescent="0.2">
      <c r="A191" s="11">
        <v>175</v>
      </c>
      <c r="B191" s="5" t="s">
        <v>501</v>
      </c>
      <c r="C191" s="11">
        <v>79506290597</v>
      </c>
      <c r="D191" s="5" t="s">
        <v>503</v>
      </c>
      <c r="E191" s="8">
        <v>80.14</v>
      </c>
      <c r="F191" s="5" t="s">
        <v>10</v>
      </c>
      <c r="G191" s="2" t="s">
        <v>502</v>
      </c>
    </row>
    <row r="192" spans="1:7" x14ac:dyDescent="0.2">
      <c r="A192" s="11">
        <v>176</v>
      </c>
      <c r="B192" s="5" t="s">
        <v>1339</v>
      </c>
      <c r="C192" s="11">
        <v>74867487620</v>
      </c>
      <c r="D192" s="5" t="s">
        <v>314</v>
      </c>
      <c r="E192" s="8">
        <f>1266.25+1621.29+2016+807.5+1936.66</f>
        <v>7647.7</v>
      </c>
      <c r="F192" s="5" t="s">
        <v>10</v>
      </c>
      <c r="G192" s="2" t="s">
        <v>23</v>
      </c>
    </row>
    <row r="193" spans="1:7" x14ac:dyDescent="0.2">
      <c r="A193" s="11">
        <v>177</v>
      </c>
      <c r="B193" s="5" t="s">
        <v>17</v>
      </c>
      <c r="C193" s="11" t="s">
        <v>17</v>
      </c>
      <c r="D193" s="5" t="s">
        <v>17</v>
      </c>
      <c r="E193" s="8">
        <f>560</f>
        <v>560</v>
      </c>
      <c r="F193" s="5" t="s">
        <v>10</v>
      </c>
      <c r="G193" s="2" t="s">
        <v>18</v>
      </c>
    </row>
    <row r="194" spans="1:7" x14ac:dyDescent="0.2">
      <c r="A194" s="11">
        <v>178</v>
      </c>
      <c r="B194" s="5" t="s">
        <v>17</v>
      </c>
      <c r="C194" s="11" t="s">
        <v>17</v>
      </c>
      <c r="D194" s="5" t="s">
        <v>17</v>
      </c>
      <c r="E194" s="8">
        <v>560</v>
      </c>
      <c r="F194" s="5" t="s">
        <v>10</v>
      </c>
      <c r="G194" s="2" t="s">
        <v>123</v>
      </c>
    </row>
    <row r="195" spans="1:7" x14ac:dyDescent="0.2">
      <c r="A195" s="11">
        <v>179</v>
      </c>
      <c r="B195" s="5" t="s">
        <v>1507</v>
      </c>
      <c r="C195" s="11">
        <v>78131970792</v>
      </c>
      <c r="D195" s="5" t="s">
        <v>1508</v>
      </c>
      <c r="E195" s="8">
        <f>350+475+575</f>
        <v>1400</v>
      </c>
      <c r="F195" s="5" t="s">
        <v>10</v>
      </c>
      <c r="G195" s="2" t="s">
        <v>243</v>
      </c>
    </row>
    <row r="196" spans="1:7" x14ac:dyDescent="0.2">
      <c r="A196" s="11">
        <v>180</v>
      </c>
      <c r="B196" s="19" t="s">
        <v>819</v>
      </c>
      <c r="C196" s="36">
        <v>30568370357</v>
      </c>
      <c r="D196" s="19" t="s">
        <v>820</v>
      </c>
      <c r="E196" s="15">
        <v>831.25</v>
      </c>
      <c r="F196" s="19" t="s">
        <v>10</v>
      </c>
      <c r="G196" s="28" t="s">
        <v>287</v>
      </c>
    </row>
    <row r="197" spans="1:7" x14ac:dyDescent="0.2">
      <c r="A197" s="11">
        <v>181</v>
      </c>
      <c r="B197" s="5" t="s">
        <v>267</v>
      </c>
      <c r="C197" s="12" t="s">
        <v>269</v>
      </c>
      <c r="D197" s="5" t="s">
        <v>268</v>
      </c>
      <c r="E197" s="8">
        <f>2803.75+1625+662.5</f>
        <v>5091.25</v>
      </c>
      <c r="F197" s="5" t="s">
        <v>10</v>
      </c>
      <c r="G197" s="2" t="s">
        <v>23</v>
      </c>
    </row>
    <row r="198" spans="1:7" x14ac:dyDescent="0.2">
      <c r="A198" s="11">
        <v>182</v>
      </c>
      <c r="B198" s="5" t="s">
        <v>461</v>
      </c>
      <c r="C198" s="11">
        <v>83157399243</v>
      </c>
      <c r="D198" s="5" t="s">
        <v>462</v>
      </c>
      <c r="E198" s="8">
        <f>85+233.75+125</f>
        <v>443.75</v>
      </c>
      <c r="F198" s="5" t="s">
        <v>10</v>
      </c>
      <c r="G198" s="2" t="s">
        <v>23</v>
      </c>
    </row>
    <row r="199" spans="1:7" x14ac:dyDescent="0.2">
      <c r="A199" s="11">
        <v>183</v>
      </c>
      <c r="B199" s="5" t="s">
        <v>480</v>
      </c>
      <c r="C199" s="11">
        <v>69857578031</v>
      </c>
      <c r="D199" s="5" t="s">
        <v>482</v>
      </c>
      <c r="E199" s="8">
        <f>285.85+306.59+608.15</f>
        <v>1200.5900000000001</v>
      </c>
      <c r="F199" s="5" t="s">
        <v>10</v>
      </c>
      <c r="G199" s="2" t="s">
        <v>481</v>
      </c>
    </row>
    <row r="200" spans="1:7" x14ac:dyDescent="0.2">
      <c r="A200" s="11">
        <v>184</v>
      </c>
      <c r="B200" s="5" t="s">
        <v>56</v>
      </c>
      <c r="C200" s="11">
        <v>23308926345</v>
      </c>
      <c r="D200" s="5" t="s">
        <v>74</v>
      </c>
      <c r="E200" s="15">
        <f>207.31+207.31</f>
        <v>414.62</v>
      </c>
      <c r="F200" s="5" t="s">
        <v>10</v>
      </c>
      <c r="G200" s="2" t="s">
        <v>55</v>
      </c>
    </row>
    <row r="201" spans="1:7" x14ac:dyDescent="0.2">
      <c r="A201" s="11">
        <v>185</v>
      </c>
      <c r="B201" s="5" t="s">
        <v>682</v>
      </c>
      <c r="C201" s="11" t="s">
        <v>683</v>
      </c>
      <c r="D201" s="5" t="s">
        <v>684</v>
      </c>
      <c r="E201" s="8">
        <f>20000+10000</f>
        <v>30000</v>
      </c>
      <c r="F201" s="5" t="s">
        <v>10</v>
      </c>
      <c r="G201" s="2" t="s">
        <v>23</v>
      </c>
    </row>
    <row r="202" spans="1:7" x14ac:dyDescent="0.2">
      <c r="A202" s="11">
        <v>186</v>
      </c>
      <c r="B202" s="5" t="s">
        <v>719</v>
      </c>
      <c r="C202" s="11">
        <v>88470929840</v>
      </c>
      <c r="D202" s="5" t="s">
        <v>720</v>
      </c>
      <c r="E202" s="8">
        <v>95.63</v>
      </c>
      <c r="F202" s="5" t="s">
        <v>10</v>
      </c>
      <c r="G202" s="2" t="s">
        <v>23</v>
      </c>
    </row>
    <row r="203" spans="1:7" x14ac:dyDescent="0.2">
      <c r="A203" s="11">
        <v>187</v>
      </c>
      <c r="B203" s="5" t="s">
        <v>1511</v>
      </c>
      <c r="C203" s="11">
        <v>75798666307</v>
      </c>
      <c r="D203" s="5" t="s">
        <v>1512</v>
      </c>
      <c r="E203" s="8">
        <v>365.49</v>
      </c>
      <c r="F203" s="5" t="s">
        <v>10</v>
      </c>
      <c r="G203" s="2" t="s">
        <v>637</v>
      </c>
    </row>
    <row r="204" spans="1:7" x14ac:dyDescent="0.2">
      <c r="A204" s="11">
        <v>188</v>
      </c>
      <c r="B204" s="5" t="s">
        <v>315</v>
      </c>
      <c r="C204" s="11">
        <v>98656691838</v>
      </c>
      <c r="D204" s="5" t="s">
        <v>316</v>
      </c>
      <c r="E204" s="8">
        <f>2975+2975</f>
        <v>5950</v>
      </c>
      <c r="F204" s="5" t="s">
        <v>10</v>
      </c>
      <c r="G204" s="2" t="s">
        <v>23</v>
      </c>
    </row>
    <row r="205" spans="1:7" x14ac:dyDescent="0.2">
      <c r="A205" s="11">
        <v>189</v>
      </c>
      <c r="B205" s="5" t="s">
        <v>1523</v>
      </c>
      <c r="C205" s="11">
        <v>77022388360</v>
      </c>
      <c r="D205" s="5" t="s">
        <v>1236</v>
      </c>
      <c r="E205" s="8">
        <v>20.399999999999999</v>
      </c>
      <c r="F205" s="5" t="s">
        <v>10</v>
      </c>
      <c r="G205" s="2" t="s">
        <v>23</v>
      </c>
    </row>
    <row r="206" spans="1:7" x14ac:dyDescent="0.2">
      <c r="A206" s="11">
        <v>190</v>
      </c>
      <c r="B206" s="5" t="s">
        <v>65</v>
      </c>
      <c r="C206" s="11">
        <v>93039509752</v>
      </c>
      <c r="D206" s="5" t="s">
        <v>75</v>
      </c>
      <c r="E206" s="20">
        <f>510.99</f>
        <v>510.99</v>
      </c>
      <c r="F206" s="19" t="s">
        <v>10</v>
      </c>
      <c r="G206" s="2" t="s">
        <v>66</v>
      </c>
    </row>
    <row r="207" spans="1:7" ht="12.75" customHeight="1" x14ac:dyDescent="0.2">
      <c r="A207" s="11">
        <v>191</v>
      </c>
      <c r="B207" s="5" t="s">
        <v>159</v>
      </c>
      <c r="C207" s="11">
        <v>64862538713</v>
      </c>
      <c r="D207" s="5" t="s">
        <v>217</v>
      </c>
      <c r="E207" s="8">
        <f>55+142.5+142.5</f>
        <v>340</v>
      </c>
      <c r="F207" s="5" t="s">
        <v>10</v>
      </c>
      <c r="G207" s="2" t="s">
        <v>23</v>
      </c>
    </row>
    <row r="208" spans="1:7" ht="12.75" customHeight="1" x14ac:dyDescent="0.2">
      <c r="A208" s="11">
        <v>192</v>
      </c>
      <c r="B208" s="5" t="s">
        <v>376</v>
      </c>
      <c r="C208" s="11">
        <v>26901839603</v>
      </c>
      <c r="D208" s="5" t="s">
        <v>377</v>
      </c>
      <c r="E208" s="8">
        <f>312.43+1050.09+701.18</f>
        <v>2063.6999999999998</v>
      </c>
      <c r="F208" s="5" t="s">
        <v>10</v>
      </c>
      <c r="G208" s="2" t="s">
        <v>23</v>
      </c>
    </row>
    <row r="209" spans="1:7" ht="12.75" customHeight="1" x14ac:dyDescent="0.2">
      <c r="A209" s="11">
        <v>193</v>
      </c>
      <c r="B209" s="5" t="s">
        <v>557</v>
      </c>
      <c r="C209" s="11">
        <v>75725588375</v>
      </c>
      <c r="D209" s="5" t="s">
        <v>558</v>
      </c>
      <c r="E209" s="8">
        <v>675.43</v>
      </c>
      <c r="F209" s="5" t="s">
        <v>10</v>
      </c>
      <c r="G209" s="2" t="s">
        <v>23</v>
      </c>
    </row>
    <row r="210" spans="1:7" ht="12.75" customHeight="1" x14ac:dyDescent="0.2">
      <c r="A210" s="11">
        <v>194</v>
      </c>
      <c r="B210" s="5" t="s">
        <v>411</v>
      </c>
      <c r="C210" s="11">
        <v>110752628</v>
      </c>
      <c r="D210" s="5" t="s">
        <v>414</v>
      </c>
      <c r="E210" s="8">
        <f>3000+2712.84+2186.94+184.88</f>
        <v>8084.6600000000008</v>
      </c>
      <c r="F210" s="5" t="s">
        <v>10</v>
      </c>
      <c r="G210" s="2" t="s">
        <v>23</v>
      </c>
    </row>
    <row r="211" spans="1:7" ht="12.75" customHeight="1" x14ac:dyDescent="0.2">
      <c r="A211" s="11">
        <v>195</v>
      </c>
      <c r="B211" s="23" t="s">
        <v>191</v>
      </c>
      <c r="C211" s="24">
        <v>34421776805</v>
      </c>
      <c r="D211" s="23" t="s">
        <v>240</v>
      </c>
      <c r="E211" s="8">
        <f>2330.9+209.43</f>
        <v>2540.33</v>
      </c>
      <c r="F211" s="5" t="s">
        <v>10</v>
      </c>
      <c r="G211" s="2" t="s">
        <v>192</v>
      </c>
    </row>
    <row r="212" spans="1:7" ht="12.75" customHeight="1" x14ac:dyDescent="0.2">
      <c r="A212" s="11">
        <v>196</v>
      </c>
      <c r="B212" s="5" t="s">
        <v>174</v>
      </c>
      <c r="C212" s="11">
        <v>79517545745</v>
      </c>
      <c r="D212" s="5" t="s">
        <v>227</v>
      </c>
      <c r="E212" s="8">
        <f>55.16</f>
        <v>55.16</v>
      </c>
      <c r="F212" s="5" t="s">
        <v>10</v>
      </c>
      <c r="G212" s="2" t="s">
        <v>176</v>
      </c>
    </row>
    <row r="213" spans="1:7" ht="12.75" customHeight="1" x14ac:dyDescent="0.2">
      <c r="A213" s="11">
        <v>197</v>
      </c>
      <c r="B213" s="5" t="s">
        <v>302</v>
      </c>
      <c r="C213" s="11" t="s">
        <v>303</v>
      </c>
      <c r="D213" s="5" t="s">
        <v>304</v>
      </c>
      <c r="E213" s="8">
        <f>1998.7+9272.74+2887.76+503.83</f>
        <v>14663.03</v>
      </c>
      <c r="F213" s="5" t="s">
        <v>10</v>
      </c>
      <c r="G213" s="2" t="s">
        <v>23</v>
      </c>
    </row>
    <row r="214" spans="1:7" ht="12.75" customHeight="1" x14ac:dyDescent="0.2">
      <c r="A214" s="11">
        <v>198</v>
      </c>
      <c r="B214" s="5" t="s">
        <v>1488</v>
      </c>
      <c r="C214" s="12" t="s">
        <v>1489</v>
      </c>
      <c r="D214" s="5" t="s">
        <v>1490</v>
      </c>
      <c r="E214" s="8">
        <v>106.76</v>
      </c>
      <c r="F214" s="5" t="s">
        <v>10</v>
      </c>
      <c r="G214" s="2" t="s">
        <v>23</v>
      </c>
    </row>
    <row r="215" spans="1:7" ht="12.75" customHeight="1" x14ac:dyDescent="0.2">
      <c r="A215" s="11">
        <v>199</v>
      </c>
      <c r="B215" s="5" t="s">
        <v>451</v>
      </c>
      <c r="C215" s="11" t="s">
        <v>452</v>
      </c>
      <c r="D215" s="5" t="s">
        <v>453</v>
      </c>
      <c r="E215" s="8">
        <f>2000+2000+2000</f>
        <v>6000</v>
      </c>
      <c r="F215" s="5" t="s">
        <v>10</v>
      </c>
      <c r="G215" s="2" t="s">
        <v>23</v>
      </c>
    </row>
    <row r="216" spans="1:7" ht="12.75" customHeight="1" x14ac:dyDescent="0.2">
      <c r="A216" s="11">
        <v>200</v>
      </c>
      <c r="B216" s="5" t="s">
        <v>732</v>
      </c>
      <c r="C216" s="11">
        <v>80972836106</v>
      </c>
      <c r="D216" s="5" t="s">
        <v>733</v>
      </c>
      <c r="E216" s="8">
        <f>231.7+106.2</f>
        <v>337.9</v>
      </c>
      <c r="F216" s="5" t="s">
        <v>10</v>
      </c>
      <c r="G216" s="2" t="s">
        <v>173</v>
      </c>
    </row>
    <row r="217" spans="1:7" x14ac:dyDescent="0.2">
      <c r="A217" s="11">
        <v>201</v>
      </c>
      <c r="B217" s="5" t="s">
        <v>1266</v>
      </c>
      <c r="C217" s="11">
        <v>80805858278</v>
      </c>
      <c r="D217" s="5" t="s">
        <v>253</v>
      </c>
      <c r="E217" s="8">
        <v>47.22</v>
      </c>
      <c r="F217" s="5" t="s">
        <v>10</v>
      </c>
      <c r="G217" s="2" t="s">
        <v>64</v>
      </c>
    </row>
    <row r="218" spans="1:7" x14ac:dyDescent="0.2">
      <c r="A218" s="11">
        <v>202</v>
      </c>
      <c r="B218" s="5" t="s">
        <v>1536</v>
      </c>
      <c r="C218" s="11">
        <v>58421021869</v>
      </c>
      <c r="D218" s="5" t="s">
        <v>1537</v>
      </c>
      <c r="E218" s="8">
        <f>1773.9+8955+9345.6+3700.35</f>
        <v>23774.85</v>
      </c>
      <c r="F218" s="5" t="s">
        <v>10</v>
      </c>
      <c r="G218" s="2" t="s">
        <v>23</v>
      </c>
    </row>
    <row r="219" spans="1:7" x14ac:dyDescent="0.2">
      <c r="A219" s="11">
        <v>203</v>
      </c>
      <c r="B219" s="5" t="s">
        <v>580</v>
      </c>
      <c r="C219" s="11">
        <v>88745489373</v>
      </c>
      <c r="D219" s="5" t="s">
        <v>603</v>
      </c>
      <c r="E219" s="8">
        <f>6000+2000</f>
        <v>8000</v>
      </c>
      <c r="F219" s="5" t="s">
        <v>10</v>
      </c>
      <c r="G219" s="2" t="s">
        <v>23</v>
      </c>
    </row>
    <row r="220" spans="1:7" x14ac:dyDescent="0.2">
      <c r="A220" s="11">
        <v>204</v>
      </c>
      <c r="B220" s="5" t="s">
        <v>403</v>
      </c>
      <c r="C220" s="11">
        <v>95325472047</v>
      </c>
      <c r="D220" s="5" t="s">
        <v>404</v>
      </c>
      <c r="E220" s="8">
        <v>542.73</v>
      </c>
      <c r="F220" s="5" t="s">
        <v>10</v>
      </c>
      <c r="G220" s="2" t="s">
        <v>23</v>
      </c>
    </row>
    <row r="221" spans="1:7" x14ac:dyDescent="0.2">
      <c r="A221" s="11">
        <v>205</v>
      </c>
      <c r="B221" s="5" t="s">
        <v>337</v>
      </c>
      <c r="C221" s="11">
        <v>97994010225</v>
      </c>
      <c r="D221" s="5" t="s">
        <v>338</v>
      </c>
      <c r="E221" s="8">
        <f>681.53+2641.18</f>
        <v>3322.71</v>
      </c>
      <c r="F221" s="5" t="s">
        <v>10</v>
      </c>
      <c r="G221" s="2" t="s">
        <v>23</v>
      </c>
    </row>
    <row r="222" spans="1:7" x14ac:dyDescent="0.2">
      <c r="A222" s="11">
        <v>206</v>
      </c>
      <c r="B222" s="23" t="s">
        <v>366</v>
      </c>
      <c r="C222" s="24">
        <v>66181750806</v>
      </c>
      <c r="D222" s="23" t="s">
        <v>251</v>
      </c>
      <c r="E222" s="8">
        <v>2436.17</v>
      </c>
      <c r="F222" s="5" t="s">
        <v>10</v>
      </c>
      <c r="G222" s="2" t="s">
        <v>367</v>
      </c>
    </row>
    <row r="223" spans="1:7" x14ac:dyDescent="0.2">
      <c r="A223" s="11">
        <v>207</v>
      </c>
      <c r="B223" s="5" t="s">
        <v>579</v>
      </c>
      <c r="C223" s="11">
        <v>54527841697</v>
      </c>
      <c r="D223" s="5" t="s">
        <v>602</v>
      </c>
      <c r="E223" s="8">
        <f>1305+820+1193.75+765</f>
        <v>4083.75</v>
      </c>
      <c r="F223" s="5" t="s">
        <v>10</v>
      </c>
      <c r="G223" s="2" t="s">
        <v>23</v>
      </c>
    </row>
    <row r="224" spans="1:7" x14ac:dyDescent="0.2">
      <c r="A224" s="11">
        <v>208</v>
      </c>
      <c r="B224" s="5" t="s">
        <v>420</v>
      </c>
      <c r="C224" s="11">
        <v>57495737984</v>
      </c>
      <c r="D224" s="5" t="s">
        <v>421</v>
      </c>
      <c r="E224" s="8">
        <v>94.56</v>
      </c>
      <c r="F224" s="5" t="s">
        <v>10</v>
      </c>
      <c r="G224" s="2" t="s">
        <v>287</v>
      </c>
    </row>
    <row r="225" spans="1:7" x14ac:dyDescent="0.2">
      <c r="A225" s="11">
        <v>209</v>
      </c>
      <c r="B225" s="5" t="s">
        <v>809</v>
      </c>
      <c r="C225" s="11" t="s">
        <v>811</v>
      </c>
      <c r="D225" s="5" t="s">
        <v>810</v>
      </c>
      <c r="E225" s="8">
        <f>131+9053.78</f>
        <v>9184.7800000000007</v>
      </c>
      <c r="F225" s="5" t="s">
        <v>10</v>
      </c>
      <c r="G225" s="2" t="s">
        <v>23</v>
      </c>
    </row>
    <row r="226" spans="1:7" x14ac:dyDescent="0.2">
      <c r="A226" s="11">
        <v>210</v>
      </c>
      <c r="B226" s="5" t="s">
        <v>576</v>
      </c>
      <c r="C226" s="11">
        <v>77802735473</v>
      </c>
      <c r="D226" s="5" t="s">
        <v>595</v>
      </c>
      <c r="E226" s="8">
        <v>110.93</v>
      </c>
      <c r="F226" s="5" t="s">
        <v>10</v>
      </c>
      <c r="G226" s="2" t="s">
        <v>23</v>
      </c>
    </row>
    <row r="227" spans="1:7" x14ac:dyDescent="0.2">
      <c r="A227" s="11">
        <v>211</v>
      </c>
      <c r="B227" s="5" t="s">
        <v>1553</v>
      </c>
      <c r="C227" s="11">
        <v>89102192044</v>
      </c>
      <c r="D227" s="5" t="s">
        <v>1554</v>
      </c>
      <c r="E227" s="8">
        <v>280</v>
      </c>
      <c r="F227" s="5" t="s">
        <v>10</v>
      </c>
      <c r="G227" s="2" t="s">
        <v>481</v>
      </c>
    </row>
    <row r="228" spans="1:7" x14ac:dyDescent="0.2">
      <c r="A228" s="11">
        <v>212</v>
      </c>
      <c r="B228" s="5" t="s">
        <v>437</v>
      </c>
      <c r="C228" s="11">
        <v>76147579166</v>
      </c>
      <c r="D228" s="5" t="s">
        <v>438</v>
      </c>
      <c r="E228" s="8">
        <v>65</v>
      </c>
      <c r="F228" s="5" t="s">
        <v>10</v>
      </c>
      <c r="G228" s="2" t="s">
        <v>23</v>
      </c>
    </row>
    <row r="229" spans="1:7" x14ac:dyDescent="0.2">
      <c r="A229" s="11">
        <v>213</v>
      </c>
      <c r="B229" s="5" t="s">
        <v>517</v>
      </c>
      <c r="C229" s="11">
        <v>79378753915</v>
      </c>
      <c r="D229" s="5" t="s">
        <v>518</v>
      </c>
      <c r="E229" s="8">
        <v>798.5</v>
      </c>
      <c r="F229" s="5" t="s">
        <v>10</v>
      </c>
      <c r="G229" s="2" t="s">
        <v>23</v>
      </c>
    </row>
    <row r="230" spans="1:7" x14ac:dyDescent="0.2">
      <c r="A230" s="11">
        <v>214</v>
      </c>
      <c r="B230" s="5" t="s">
        <v>593</v>
      </c>
      <c r="C230" s="11">
        <v>41261796409</v>
      </c>
      <c r="D230" s="5" t="s">
        <v>592</v>
      </c>
      <c r="E230" s="8">
        <f>2415+1230</f>
        <v>3645</v>
      </c>
      <c r="F230" s="5" t="s">
        <v>10</v>
      </c>
      <c r="G230" s="2" t="s">
        <v>23</v>
      </c>
    </row>
    <row r="231" spans="1:7" x14ac:dyDescent="0.2">
      <c r="A231" s="11">
        <v>215</v>
      </c>
      <c r="B231" s="5" t="s">
        <v>428</v>
      </c>
      <c r="C231" s="11">
        <v>53785632625</v>
      </c>
      <c r="D231" s="5" t="s">
        <v>429</v>
      </c>
      <c r="E231" s="8">
        <v>399.25</v>
      </c>
      <c r="F231" s="5" t="s">
        <v>10</v>
      </c>
      <c r="G231" s="2" t="s">
        <v>23</v>
      </c>
    </row>
    <row r="232" spans="1:7" x14ac:dyDescent="0.2">
      <c r="A232" s="11">
        <v>216</v>
      </c>
      <c r="B232" s="5" t="s">
        <v>471</v>
      </c>
      <c r="C232" s="11">
        <v>54661026138</v>
      </c>
      <c r="D232" s="5" t="s">
        <v>472</v>
      </c>
      <c r="E232" s="8">
        <f>693.75+1581.86+1119.9</f>
        <v>3395.5099999999998</v>
      </c>
      <c r="F232" s="5" t="s">
        <v>10</v>
      </c>
      <c r="G232" s="2" t="s">
        <v>23</v>
      </c>
    </row>
    <row r="233" spans="1:7" x14ac:dyDescent="0.2">
      <c r="A233" s="11">
        <v>217</v>
      </c>
      <c r="B233" s="5" t="s">
        <v>550</v>
      </c>
      <c r="C233" s="11">
        <v>22911773746</v>
      </c>
      <c r="D233" s="5" t="s">
        <v>551</v>
      </c>
      <c r="E233" s="8">
        <f>2195+3000+1100+2000</f>
        <v>8295</v>
      </c>
      <c r="F233" s="5" t="s">
        <v>10</v>
      </c>
      <c r="G233" s="2" t="s">
        <v>23</v>
      </c>
    </row>
    <row r="234" spans="1:7" x14ac:dyDescent="0.2">
      <c r="A234" s="11">
        <v>218</v>
      </c>
      <c r="B234" s="5" t="s">
        <v>182</v>
      </c>
      <c r="C234" s="12" t="s">
        <v>234</v>
      </c>
      <c r="D234" s="5" t="s">
        <v>233</v>
      </c>
      <c r="E234" s="8">
        <f>319.44+697.8</f>
        <v>1017.24</v>
      </c>
      <c r="F234" s="5" t="s">
        <v>10</v>
      </c>
      <c r="G234" s="2" t="s">
        <v>23</v>
      </c>
    </row>
    <row r="235" spans="1:7" x14ac:dyDescent="0.2">
      <c r="A235" s="11">
        <v>219</v>
      </c>
      <c r="B235" s="5" t="s">
        <v>590</v>
      </c>
      <c r="C235" s="11">
        <v>38867318377</v>
      </c>
      <c r="D235" s="5" t="s">
        <v>591</v>
      </c>
      <c r="E235" s="8">
        <v>603.11</v>
      </c>
      <c r="F235" s="5" t="s">
        <v>10</v>
      </c>
      <c r="G235" s="2" t="s">
        <v>23</v>
      </c>
    </row>
    <row r="236" spans="1:7" x14ac:dyDescent="0.2">
      <c r="A236" s="11">
        <v>220</v>
      </c>
      <c r="B236" s="5" t="s">
        <v>276</v>
      </c>
      <c r="C236" s="11">
        <v>64546066176</v>
      </c>
      <c r="D236" s="5" t="s">
        <v>277</v>
      </c>
      <c r="E236" s="8">
        <v>104.4</v>
      </c>
      <c r="F236" s="5" t="s">
        <v>10</v>
      </c>
      <c r="G236" s="2" t="s">
        <v>23</v>
      </c>
    </row>
    <row r="237" spans="1:7" x14ac:dyDescent="0.2">
      <c r="A237" s="11">
        <v>221</v>
      </c>
      <c r="B237" s="5" t="s">
        <v>738</v>
      </c>
      <c r="C237" s="11">
        <v>77170927797</v>
      </c>
      <c r="D237" s="5" t="s">
        <v>739</v>
      </c>
      <c r="E237" s="8">
        <v>81.2</v>
      </c>
      <c r="F237" s="5" t="s">
        <v>10</v>
      </c>
      <c r="G237" s="2" t="s">
        <v>23</v>
      </c>
    </row>
    <row r="238" spans="1:7" x14ac:dyDescent="0.2">
      <c r="A238" s="11">
        <v>222</v>
      </c>
      <c r="B238" s="5" t="s">
        <v>691</v>
      </c>
      <c r="C238" s="11">
        <v>31826907316</v>
      </c>
      <c r="D238" s="5" t="s">
        <v>692</v>
      </c>
      <c r="E238" s="8">
        <f>4000+10000+6000+7500+2500</f>
        <v>30000</v>
      </c>
      <c r="F238" s="5" t="s">
        <v>10</v>
      </c>
      <c r="G238" s="2" t="s">
        <v>23</v>
      </c>
    </row>
    <row r="239" spans="1:7" x14ac:dyDescent="0.2">
      <c r="A239" s="11">
        <v>223</v>
      </c>
      <c r="B239" s="5" t="s">
        <v>155</v>
      </c>
      <c r="C239" s="11">
        <v>55326209639</v>
      </c>
      <c r="D239" s="5" t="s">
        <v>214</v>
      </c>
      <c r="E239" s="8">
        <f>162+1343.93</f>
        <v>1505.93</v>
      </c>
      <c r="F239" s="5" t="s">
        <v>10</v>
      </c>
      <c r="G239" s="2" t="s">
        <v>23</v>
      </c>
    </row>
    <row r="240" spans="1:7" x14ac:dyDescent="0.2">
      <c r="A240" s="11">
        <v>224</v>
      </c>
      <c r="B240" s="5" t="s">
        <v>259</v>
      </c>
      <c r="C240" s="11">
        <v>46289034988</v>
      </c>
      <c r="D240" s="5" t="s">
        <v>261</v>
      </c>
      <c r="E240" s="8">
        <f>4126.68</f>
        <v>4126.68</v>
      </c>
      <c r="F240" s="5" t="s">
        <v>10</v>
      </c>
      <c r="G240" s="2" t="s">
        <v>260</v>
      </c>
    </row>
    <row r="241" spans="1:7" x14ac:dyDescent="0.2">
      <c r="A241" s="11">
        <v>225</v>
      </c>
      <c r="B241" s="5" t="s">
        <v>860</v>
      </c>
      <c r="C241" s="11">
        <v>44307963093</v>
      </c>
      <c r="D241" s="5" t="s">
        <v>861</v>
      </c>
      <c r="E241" s="8">
        <v>6175</v>
      </c>
      <c r="F241" s="5" t="s">
        <v>10</v>
      </c>
      <c r="G241" s="2" t="s">
        <v>23</v>
      </c>
    </row>
    <row r="242" spans="1:7" x14ac:dyDescent="0.2">
      <c r="A242" s="11">
        <v>226</v>
      </c>
      <c r="B242" s="5" t="s">
        <v>1292</v>
      </c>
      <c r="C242" s="12" t="s">
        <v>1293</v>
      </c>
      <c r="D242" s="5" t="s">
        <v>1294</v>
      </c>
      <c r="E242" s="8">
        <f>663.75</f>
        <v>663.75</v>
      </c>
      <c r="F242" s="5" t="s">
        <v>10</v>
      </c>
      <c r="G242" s="2" t="s">
        <v>1295</v>
      </c>
    </row>
    <row r="243" spans="1:7" x14ac:dyDescent="0.2">
      <c r="A243" s="11">
        <v>227</v>
      </c>
      <c r="B243" s="5" t="s">
        <v>473</v>
      </c>
      <c r="C243" s="11">
        <v>92839607312</v>
      </c>
      <c r="D243" s="5" t="s">
        <v>474</v>
      </c>
      <c r="E243" s="8">
        <v>3257.69</v>
      </c>
      <c r="F243" s="5" t="s">
        <v>10</v>
      </c>
      <c r="G243" s="2" t="s">
        <v>23</v>
      </c>
    </row>
    <row r="244" spans="1:7" x14ac:dyDescent="0.2">
      <c r="A244" s="11">
        <v>228</v>
      </c>
      <c r="B244" s="5" t="s">
        <v>114</v>
      </c>
      <c r="C244" s="12" t="s">
        <v>116</v>
      </c>
      <c r="D244" s="5" t="s">
        <v>117</v>
      </c>
      <c r="E244" s="8">
        <f>957.01+957.01</f>
        <v>1914.02</v>
      </c>
      <c r="F244" s="5" t="s">
        <v>10</v>
      </c>
      <c r="G244" s="2" t="s">
        <v>115</v>
      </c>
    </row>
    <row r="245" spans="1:7" x14ac:dyDescent="0.2">
      <c r="A245" s="11">
        <v>229</v>
      </c>
      <c r="B245" s="5" t="s">
        <v>249</v>
      </c>
      <c r="C245" s="11">
        <v>26004523816</v>
      </c>
      <c r="D245" s="5" t="s">
        <v>251</v>
      </c>
      <c r="E245" s="8">
        <f>17.85</f>
        <v>17.850000000000001</v>
      </c>
      <c r="F245" s="5" t="s">
        <v>10</v>
      </c>
      <c r="G245" s="2" t="s">
        <v>23</v>
      </c>
    </row>
    <row r="246" spans="1:7" x14ac:dyDescent="0.2">
      <c r="A246" s="11">
        <v>230</v>
      </c>
      <c r="B246" s="5" t="s">
        <v>183</v>
      </c>
      <c r="C246" s="11">
        <v>95449332614</v>
      </c>
      <c r="D246" s="5" t="s">
        <v>235</v>
      </c>
      <c r="E246" s="8">
        <v>125</v>
      </c>
      <c r="F246" s="5" t="s">
        <v>10</v>
      </c>
      <c r="G246" s="2" t="s">
        <v>23</v>
      </c>
    </row>
    <row r="247" spans="1:7" x14ac:dyDescent="0.2">
      <c r="A247" s="11">
        <v>231</v>
      </c>
      <c r="B247" s="5" t="s">
        <v>839</v>
      </c>
      <c r="C247" s="11">
        <v>27740284011</v>
      </c>
      <c r="D247" s="5" t="s">
        <v>840</v>
      </c>
      <c r="E247" s="8">
        <v>103.51</v>
      </c>
      <c r="F247" s="5" t="s">
        <v>10</v>
      </c>
      <c r="G247" s="2" t="s">
        <v>23</v>
      </c>
    </row>
    <row r="248" spans="1:7" x14ac:dyDescent="0.2">
      <c r="A248" s="11">
        <v>232</v>
      </c>
      <c r="B248" s="5" t="s">
        <v>1117</v>
      </c>
      <c r="C248" s="11">
        <v>64634216475</v>
      </c>
      <c r="D248" s="5" t="s">
        <v>1118</v>
      </c>
      <c r="E248" s="8">
        <f>286.65+566.55</f>
        <v>853.19999999999993</v>
      </c>
      <c r="F248" s="5" t="s">
        <v>10</v>
      </c>
      <c r="G248" s="2" t="s">
        <v>23</v>
      </c>
    </row>
    <row r="249" spans="1:7" x14ac:dyDescent="0.2">
      <c r="A249" s="11">
        <v>233</v>
      </c>
      <c r="B249" s="5" t="s">
        <v>1603</v>
      </c>
      <c r="C249" s="11">
        <v>37059070344</v>
      </c>
      <c r="D249" s="5" t="s">
        <v>1604</v>
      </c>
      <c r="E249" s="8">
        <v>3000</v>
      </c>
      <c r="F249" s="5" t="s">
        <v>10</v>
      </c>
      <c r="G249" s="2" t="s">
        <v>763</v>
      </c>
    </row>
    <row r="250" spans="1:7" x14ac:dyDescent="0.2">
      <c r="A250" s="11">
        <v>234</v>
      </c>
      <c r="B250" s="5" t="s">
        <v>1722</v>
      </c>
      <c r="C250" s="11">
        <v>85068601099</v>
      </c>
      <c r="D250" s="5" t="s">
        <v>1723</v>
      </c>
      <c r="E250" s="8">
        <f>22696.1+25000</f>
        <v>47696.1</v>
      </c>
      <c r="F250" s="5" t="s">
        <v>10</v>
      </c>
      <c r="G250" s="2" t="s">
        <v>1724</v>
      </c>
    </row>
    <row r="251" spans="1:7" x14ac:dyDescent="0.2">
      <c r="A251" s="11">
        <v>235</v>
      </c>
      <c r="B251" s="5" t="s">
        <v>434</v>
      </c>
      <c r="C251" s="11" t="s">
        <v>436</v>
      </c>
      <c r="D251" s="5" t="s">
        <v>435</v>
      </c>
      <c r="E251" s="8">
        <v>6665</v>
      </c>
      <c r="F251" s="5" t="s">
        <v>10</v>
      </c>
      <c r="G251" s="2" t="s">
        <v>23</v>
      </c>
    </row>
    <row r="252" spans="1:7" x14ac:dyDescent="0.2">
      <c r="A252" s="11">
        <v>236</v>
      </c>
      <c r="B252" s="5" t="s">
        <v>378</v>
      </c>
      <c r="C252" s="11">
        <v>32586594426</v>
      </c>
      <c r="D252" s="5" t="s">
        <v>379</v>
      </c>
      <c r="E252" s="8">
        <f>1618.75</f>
        <v>1618.75</v>
      </c>
      <c r="F252" s="5" t="s">
        <v>10</v>
      </c>
      <c r="G252" s="2" t="s">
        <v>23</v>
      </c>
    </row>
    <row r="253" spans="1:7" x14ac:dyDescent="0.2">
      <c r="A253" s="11">
        <v>237</v>
      </c>
      <c r="B253" s="5" t="s">
        <v>773</v>
      </c>
      <c r="C253" s="11">
        <v>56290033854</v>
      </c>
      <c r="D253" s="5" t="s">
        <v>1605</v>
      </c>
      <c r="E253" s="8">
        <v>150.88</v>
      </c>
      <c r="F253" s="5" t="s">
        <v>10</v>
      </c>
      <c r="G253" s="2" t="s">
        <v>176</v>
      </c>
    </row>
    <row r="254" spans="1:7" x14ac:dyDescent="0.2">
      <c r="A254" s="11">
        <v>238</v>
      </c>
      <c r="B254" s="5" t="s">
        <v>1115</v>
      </c>
      <c r="C254" s="11">
        <v>79824224893</v>
      </c>
      <c r="D254" s="5" t="s">
        <v>1116</v>
      </c>
      <c r="E254" s="8">
        <f>386.39+45.23</f>
        <v>431.62</v>
      </c>
      <c r="F254" s="5" t="s">
        <v>10</v>
      </c>
      <c r="G254" s="2" t="s">
        <v>23</v>
      </c>
    </row>
    <row r="255" spans="1:7" x14ac:dyDescent="0.2">
      <c r="A255" s="11">
        <v>239</v>
      </c>
      <c r="B255" s="5" t="s">
        <v>1725</v>
      </c>
      <c r="C255" s="11">
        <v>42113416920</v>
      </c>
      <c r="D255" s="5" t="s">
        <v>1726</v>
      </c>
      <c r="E255" s="8">
        <v>24</v>
      </c>
      <c r="F255" s="5" t="s">
        <v>10</v>
      </c>
      <c r="G255" s="2" t="s">
        <v>23</v>
      </c>
    </row>
    <row r="256" spans="1:7" x14ac:dyDescent="0.2">
      <c r="A256" s="11">
        <v>240</v>
      </c>
      <c r="B256" s="5" t="s">
        <v>1727</v>
      </c>
      <c r="C256" s="11">
        <v>57845277445</v>
      </c>
      <c r="D256" s="5" t="s">
        <v>1728</v>
      </c>
      <c r="E256" s="8">
        <v>135.38</v>
      </c>
      <c r="F256" s="5" t="s">
        <v>10</v>
      </c>
      <c r="G256" s="2" t="s">
        <v>176</v>
      </c>
    </row>
    <row r="257" spans="1:7" x14ac:dyDescent="0.2">
      <c r="A257" s="11">
        <v>241</v>
      </c>
      <c r="B257" s="5" t="s">
        <v>1729</v>
      </c>
      <c r="C257" s="11">
        <v>50056328499</v>
      </c>
      <c r="D257" s="5" t="s">
        <v>1730</v>
      </c>
      <c r="E257" s="8">
        <v>55.17</v>
      </c>
      <c r="F257" s="5" t="s">
        <v>10</v>
      </c>
      <c r="G257" s="2" t="s">
        <v>791</v>
      </c>
    </row>
    <row r="258" spans="1:7" x14ac:dyDescent="0.2">
      <c r="A258" s="11">
        <v>242</v>
      </c>
      <c r="B258" s="5" t="s">
        <v>1397</v>
      </c>
      <c r="C258" s="11">
        <v>79069474349</v>
      </c>
      <c r="D258" s="5" t="s">
        <v>1398</v>
      </c>
      <c r="E258" s="8">
        <v>38.54</v>
      </c>
      <c r="F258" s="5" t="s">
        <v>10</v>
      </c>
      <c r="G258" s="2" t="s">
        <v>1399</v>
      </c>
    </row>
    <row r="259" spans="1:7" x14ac:dyDescent="0.2">
      <c r="A259" s="11">
        <v>243</v>
      </c>
      <c r="B259" s="5" t="s">
        <v>1479</v>
      </c>
      <c r="C259" s="12">
        <v>83442273157</v>
      </c>
      <c r="D259" s="5" t="s">
        <v>1480</v>
      </c>
      <c r="E259" s="8">
        <f>2267.5+210</f>
        <v>2477.5</v>
      </c>
      <c r="F259" s="5" t="s">
        <v>10</v>
      </c>
      <c r="G259" s="2" t="s">
        <v>192</v>
      </c>
    </row>
    <row r="260" spans="1:7" x14ac:dyDescent="0.2">
      <c r="A260" s="11">
        <v>244</v>
      </c>
      <c r="B260" s="5" t="s">
        <v>1731</v>
      </c>
      <c r="C260" s="12">
        <v>15140147538</v>
      </c>
      <c r="D260" s="5" t="s">
        <v>592</v>
      </c>
      <c r="E260" s="8">
        <v>65</v>
      </c>
      <c r="F260" s="5" t="s">
        <v>10</v>
      </c>
      <c r="G260" s="2" t="s">
        <v>23</v>
      </c>
    </row>
    <row r="261" spans="1:7" x14ac:dyDescent="0.2">
      <c r="A261" s="11">
        <v>245</v>
      </c>
      <c r="B261" s="5" t="s">
        <v>1732</v>
      </c>
      <c r="C261" s="12">
        <v>51933956179</v>
      </c>
      <c r="D261" s="5" t="s">
        <v>1733</v>
      </c>
      <c r="E261" s="8">
        <v>670</v>
      </c>
      <c r="F261" s="5" t="s">
        <v>10</v>
      </c>
      <c r="G261" s="2" t="s">
        <v>505</v>
      </c>
    </row>
    <row r="262" spans="1:7" x14ac:dyDescent="0.2">
      <c r="A262" s="11">
        <v>246</v>
      </c>
      <c r="B262" s="5" t="s">
        <v>1360</v>
      </c>
      <c r="C262" s="11">
        <v>36365310424</v>
      </c>
      <c r="D262" s="5" t="s">
        <v>1303</v>
      </c>
      <c r="E262" s="8">
        <v>822.76</v>
      </c>
      <c r="F262" s="5" t="s">
        <v>10</v>
      </c>
      <c r="G262" s="2" t="s">
        <v>23</v>
      </c>
    </row>
    <row r="263" spans="1:7" x14ac:dyDescent="0.2">
      <c r="A263" s="11">
        <v>247</v>
      </c>
      <c r="B263" s="5" t="s">
        <v>947</v>
      </c>
      <c r="C263" s="11">
        <v>18499608152</v>
      </c>
      <c r="D263" s="5" t="s">
        <v>948</v>
      </c>
      <c r="E263" s="8">
        <v>37.18</v>
      </c>
      <c r="F263" s="5" t="s">
        <v>10</v>
      </c>
      <c r="G263" s="2" t="s">
        <v>23</v>
      </c>
    </row>
    <row r="264" spans="1:7" x14ac:dyDescent="0.2">
      <c r="A264" s="11">
        <v>248</v>
      </c>
      <c r="B264" s="5" t="s">
        <v>1459</v>
      </c>
      <c r="C264" s="11">
        <v>98164456048</v>
      </c>
      <c r="D264" s="5" t="s">
        <v>1460</v>
      </c>
      <c r="E264" s="8">
        <v>2023.15</v>
      </c>
      <c r="F264" s="5" t="s">
        <v>10</v>
      </c>
      <c r="G264" s="2" t="s">
        <v>186</v>
      </c>
    </row>
    <row r="265" spans="1:7" x14ac:dyDescent="0.2">
      <c r="A265" s="11">
        <v>249</v>
      </c>
      <c r="B265" s="5" t="s">
        <v>1454</v>
      </c>
      <c r="C265" s="12">
        <v>66962076561</v>
      </c>
      <c r="D265" s="5" t="s">
        <v>1455</v>
      </c>
      <c r="E265" s="8">
        <v>3812.44</v>
      </c>
      <c r="F265" s="5" t="s">
        <v>10</v>
      </c>
      <c r="G265" s="2" t="s">
        <v>350</v>
      </c>
    </row>
    <row r="266" spans="1:7" x14ac:dyDescent="0.2">
      <c r="A266" s="11">
        <v>250</v>
      </c>
      <c r="B266" s="5" t="s">
        <v>1139</v>
      </c>
      <c r="C266" s="11">
        <v>66402309304</v>
      </c>
      <c r="D266" s="5" t="s">
        <v>1140</v>
      </c>
      <c r="E266" s="8">
        <f>2000</f>
        <v>2000</v>
      </c>
      <c r="F266" s="5" t="s">
        <v>10</v>
      </c>
      <c r="G266" s="2" t="s">
        <v>23</v>
      </c>
    </row>
    <row r="267" spans="1:7" x14ac:dyDescent="0.2">
      <c r="A267" s="11">
        <v>251</v>
      </c>
      <c r="B267" s="5" t="s">
        <v>1335</v>
      </c>
      <c r="C267" s="12" t="s">
        <v>750</v>
      </c>
      <c r="D267" s="5" t="s">
        <v>751</v>
      </c>
      <c r="E267" s="8">
        <v>68.97</v>
      </c>
      <c r="F267" s="5" t="s">
        <v>10</v>
      </c>
      <c r="G267" s="2" t="s">
        <v>330</v>
      </c>
    </row>
    <row r="268" spans="1:7" ht="5.25" customHeight="1" x14ac:dyDescent="0.2">
      <c r="A268" s="11"/>
      <c r="B268" s="5"/>
      <c r="C268" s="11"/>
      <c r="D268" s="5"/>
      <c r="E268" s="8"/>
      <c r="F268" s="5"/>
      <c r="G268" s="2"/>
    </row>
    <row r="270" spans="1:7" x14ac:dyDescent="0.2">
      <c r="D270" s="51" t="s">
        <v>1734</v>
      </c>
      <c r="E270" s="64">
        <f>SUM(E11:E268)</f>
        <v>2711393.65</v>
      </c>
    </row>
  </sheetData>
  <sheetProtection algorithmName="SHA-512" hashValue="78DSl1bDY51038eI0zg+TsGzNZd4rcEWmUEtCxJjagqGmSzMOtjfgGf2la1szYbYNXI7wlruUTwnSs72oNQvKg==" saltValue="FOoRWK2ZjLcP6qZCuwidCw==" spinCount="100000" sheet="1" objects="1" scenarios="1" selectLockedCells="1" autoFilter="0" selectUnlockedCells="1"/>
  <autoFilter ref="A10:G267" xr:uid="{9ACAC209-4CD2-4BFF-83CD-7C25ADD9CD20}"/>
  <mergeCells count="33">
    <mergeCell ref="A6:B6"/>
    <mergeCell ref="A7:B7"/>
    <mergeCell ref="C8:F8"/>
    <mergeCell ref="A30:A31"/>
    <mergeCell ref="B30:B31"/>
    <mergeCell ref="C30:C31"/>
    <mergeCell ref="D30:D31"/>
    <mergeCell ref="F30:F31"/>
    <mergeCell ref="A39:A40"/>
    <mergeCell ref="B39:B40"/>
    <mergeCell ref="C39:C40"/>
    <mergeCell ref="D39:D40"/>
    <mergeCell ref="F39:F40"/>
    <mergeCell ref="A36:A37"/>
    <mergeCell ref="B36:B37"/>
    <mergeCell ref="C36:C37"/>
    <mergeCell ref="D36:D37"/>
    <mergeCell ref="F36:F37"/>
    <mergeCell ref="A67:A68"/>
    <mergeCell ref="B67:B68"/>
    <mergeCell ref="C67:C68"/>
    <mergeCell ref="D67:D68"/>
    <mergeCell ref="F67:F68"/>
    <mergeCell ref="A53:A54"/>
    <mergeCell ref="B53:B54"/>
    <mergeCell ref="C53:C54"/>
    <mergeCell ref="D53:D54"/>
    <mergeCell ref="F53:F54"/>
    <mergeCell ref="A69:A70"/>
    <mergeCell ref="B69:B70"/>
    <mergeCell ref="C69:C70"/>
    <mergeCell ref="D69:D70"/>
    <mergeCell ref="F69:F7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A6BB4-6B89-4945-B98F-332743098972}">
  <dimension ref="A5:G242"/>
  <sheetViews>
    <sheetView tabSelected="1" workbookViewId="0">
      <selection activeCell="A21" sqref="A21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16384" width="9.140625" style="99"/>
  </cols>
  <sheetData>
    <row r="5" spans="1:7" x14ac:dyDescent="0.2">
      <c r="A5" s="6" t="s">
        <v>6</v>
      </c>
      <c r="B5" s="7"/>
    </row>
    <row r="6" spans="1:7" x14ac:dyDescent="0.2">
      <c r="A6" s="74" t="s">
        <v>7</v>
      </c>
      <c r="B6" s="74"/>
    </row>
    <row r="7" spans="1:7" x14ac:dyDescent="0.2">
      <c r="A7" s="74" t="s">
        <v>8</v>
      </c>
      <c r="B7" s="74"/>
    </row>
    <row r="8" spans="1:7" x14ac:dyDescent="0.2">
      <c r="A8" s="25"/>
      <c r="B8" s="6"/>
      <c r="C8" s="75" t="s">
        <v>1735</v>
      </c>
      <c r="D8" s="75"/>
      <c r="E8" s="75"/>
      <c r="F8" s="75"/>
    </row>
    <row r="10" spans="1:7" x14ac:dyDescent="0.2">
      <c r="A10" s="3" t="s">
        <v>1</v>
      </c>
      <c r="B10" s="4" t="s">
        <v>0</v>
      </c>
      <c r="C10" s="3" t="s">
        <v>42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11</v>
      </c>
      <c r="C11" s="11">
        <v>23780250353</v>
      </c>
      <c r="D11" s="5" t="s">
        <v>27</v>
      </c>
      <c r="E11" s="8">
        <f>1994.69+525.7</f>
        <v>2520.3900000000003</v>
      </c>
      <c r="F11" s="5" t="s">
        <v>10</v>
      </c>
      <c r="G11" s="2" t="s">
        <v>12</v>
      </c>
    </row>
    <row r="12" spans="1:7" x14ac:dyDescent="0.2">
      <c r="A12" s="11">
        <v>2</v>
      </c>
      <c r="B12" s="5" t="s">
        <v>1660</v>
      </c>
      <c r="C12" s="11">
        <v>56822948795</v>
      </c>
      <c r="D12" s="5" t="s">
        <v>1661</v>
      </c>
      <c r="E12" s="8">
        <f>107.5+483.75</f>
        <v>591.25</v>
      </c>
      <c r="F12" s="5" t="s">
        <v>10</v>
      </c>
      <c r="G12" s="2" t="s">
        <v>505</v>
      </c>
    </row>
    <row r="13" spans="1:7" x14ac:dyDescent="0.2">
      <c r="A13" s="11">
        <v>3</v>
      </c>
      <c r="B13" s="5" t="s">
        <v>14</v>
      </c>
      <c r="C13" s="11">
        <v>87939104217</v>
      </c>
      <c r="D13" s="5" t="s">
        <v>15</v>
      </c>
      <c r="E13" s="8">
        <v>28.09</v>
      </c>
      <c r="F13" s="5" t="s">
        <v>10</v>
      </c>
      <c r="G13" s="2" t="s">
        <v>16</v>
      </c>
    </row>
    <row r="14" spans="1:7" x14ac:dyDescent="0.2">
      <c r="A14" s="11">
        <v>4</v>
      </c>
      <c r="B14" s="5" t="s">
        <v>1662</v>
      </c>
      <c r="C14" s="11">
        <v>63914773196</v>
      </c>
      <c r="D14" s="5" t="s">
        <v>516</v>
      </c>
      <c r="E14" s="8">
        <v>1930</v>
      </c>
      <c r="F14" s="5" t="s">
        <v>10</v>
      </c>
      <c r="G14" s="2" t="s">
        <v>23</v>
      </c>
    </row>
    <row r="15" spans="1:7" ht="12" customHeight="1" x14ac:dyDescent="0.2">
      <c r="A15" s="11">
        <v>5</v>
      </c>
      <c r="B15" s="5" t="s">
        <v>19</v>
      </c>
      <c r="C15" s="12" t="s">
        <v>30</v>
      </c>
      <c r="D15" s="9" t="s">
        <v>31</v>
      </c>
      <c r="E15" s="8">
        <v>5462.81</v>
      </c>
      <c r="F15" s="5" t="s">
        <v>10</v>
      </c>
      <c r="G15" s="2" t="s">
        <v>20</v>
      </c>
    </row>
    <row r="16" spans="1:7" x14ac:dyDescent="0.2">
      <c r="A16" s="11">
        <v>6</v>
      </c>
      <c r="B16" s="5" t="s">
        <v>22</v>
      </c>
      <c r="C16" s="11">
        <v>85167032587</v>
      </c>
      <c r="D16" s="5" t="s">
        <v>29</v>
      </c>
      <c r="E16" s="8">
        <v>527.30999999999995</v>
      </c>
      <c r="F16" s="5" t="s">
        <v>10</v>
      </c>
      <c r="G16" s="2" t="s">
        <v>21</v>
      </c>
    </row>
    <row r="17" spans="1:7" x14ac:dyDescent="0.2">
      <c r="A17" s="11">
        <v>7</v>
      </c>
      <c r="B17" s="5" t="s">
        <v>180</v>
      </c>
      <c r="C17" s="11">
        <v>87311810356</v>
      </c>
      <c r="D17" s="5" t="s">
        <v>229</v>
      </c>
      <c r="E17" s="8">
        <f>28.09+2.97+348.76</f>
        <v>379.82</v>
      </c>
      <c r="F17" s="5" t="s">
        <v>10</v>
      </c>
      <c r="G17" s="2" t="s">
        <v>179</v>
      </c>
    </row>
    <row r="18" spans="1:7" x14ac:dyDescent="0.2">
      <c r="A18" s="11">
        <v>8</v>
      </c>
      <c r="B18" s="5" t="s">
        <v>688</v>
      </c>
      <c r="C18" s="11">
        <v>44040649076</v>
      </c>
      <c r="D18" s="5" t="s">
        <v>689</v>
      </c>
      <c r="E18" s="8">
        <v>15000</v>
      </c>
      <c r="F18" s="5" t="s">
        <v>10</v>
      </c>
      <c r="G18" s="2" t="s">
        <v>23</v>
      </c>
    </row>
    <row r="19" spans="1:7" x14ac:dyDescent="0.2">
      <c r="A19" s="11">
        <v>9</v>
      </c>
      <c r="B19" s="5" t="s">
        <v>17</v>
      </c>
      <c r="C19" s="11" t="s">
        <v>17</v>
      </c>
      <c r="D19" s="5" t="s">
        <v>17</v>
      </c>
      <c r="E19" s="8">
        <v>1179631.32</v>
      </c>
      <c r="F19" s="5" t="s">
        <v>10</v>
      </c>
      <c r="G19" s="2" t="s">
        <v>34</v>
      </c>
    </row>
    <row r="20" spans="1:7" x14ac:dyDescent="0.2">
      <c r="A20" s="11">
        <v>10</v>
      </c>
      <c r="B20" s="5" t="s">
        <v>685</v>
      </c>
      <c r="C20" s="11">
        <v>78424785565</v>
      </c>
      <c r="D20" s="5" t="s">
        <v>686</v>
      </c>
      <c r="E20" s="8">
        <f>9000</f>
        <v>9000</v>
      </c>
      <c r="F20" s="5" t="s">
        <v>10</v>
      </c>
      <c r="G20" s="2" t="s">
        <v>23</v>
      </c>
    </row>
    <row r="21" spans="1:7" x14ac:dyDescent="0.2">
      <c r="A21" s="11">
        <v>11</v>
      </c>
      <c r="B21" s="5" t="s">
        <v>478</v>
      </c>
      <c r="C21" s="11">
        <v>25712329343</v>
      </c>
      <c r="D21" s="5" t="s">
        <v>479</v>
      </c>
      <c r="E21" s="8">
        <f>16.88+204.38</f>
        <v>221.26</v>
      </c>
      <c r="F21" s="5" t="s">
        <v>10</v>
      </c>
      <c r="G21" s="2" t="s">
        <v>23</v>
      </c>
    </row>
    <row r="22" spans="1:7" x14ac:dyDescent="0.2">
      <c r="A22" s="11">
        <v>12</v>
      </c>
      <c r="B22" s="5" t="s">
        <v>39</v>
      </c>
      <c r="C22" s="12" t="s">
        <v>44</v>
      </c>
      <c r="D22" s="5" t="s">
        <v>43</v>
      </c>
      <c r="E22" s="8">
        <v>1216.31</v>
      </c>
      <c r="F22" s="5" t="s">
        <v>10</v>
      </c>
      <c r="G22" s="2" t="s">
        <v>16</v>
      </c>
    </row>
    <row r="23" spans="1:7" x14ac:dyDescent="0.2">
      <c r="A23" s="11">
        <v>13</v>
      </c>
      <c r="B23" s="5" t="s">
        <v>45</v>
      </c>
      <c r="C23" s="11">
        <v>57500462912</v>
      </c>
      <c r="D23" s="5" t="s">
        <v>47</v>
      </c>
      <c r="E23" s="8">
        <f>400</f>
        <v>400</v>
      </c>
      <c r="F23" s="5" t="s">
        <v>10</v>
      </c>
      <c r="G23" s="2" t="s">
        <v>46</v>
      </c>
    </row>
    <row r="24" spans="1:7" x14ac:dyDescent="0.2">
      <c r="A24" s="11">
        <v>14</v>
      </c>
      <c r="B24" s="5" t="s">
        <v>102</v>
      </c>
      <c r="C24" s="11">
        <v>981494061</v>
      </c>
      <c r="D24" s="5" t="s">
        <v>103</v>
      </c>
      <c r="E24" s="8">
        <f>34.71+836.34</f>
        <v>871.05000000000007</v>
      </c>
      <c r="F24" s="5" t="s">
        <v>10</v>
      </c>
      <c r="G24" s="2" t="s">
        <v>62</v>
      </c>
    </row>
    <row r="25" spans="1:7" x14ac:dyDescent="0.2">
      <c r="A25" s="11">
        <v>15</v>
      </c>
      <c r="B25" s="19" t="s">
        <v>297</v>
      </c>
      <c r="C25" s="36">
        <v>72836081238</v>
      </c>
      <c r="D25" s="19" t="s">
        <v>298</v>
      </c>
      <c r="E25" s="15">
        <f>5000+13750</f>
        <v>18750</v>
      </c>
      <c r="F25" s="19" t="s">
        <v>10</v>
      </c>
      <c r="G25" s="28" t="s">
        <v>23</v>
      </c>
    </row>
    <row r="26" spans="1:7" x14ac:dyDescent="0.2">
      <c r="A26" s="11">
        <v>16</v>
      </c>
      <c r="B26" s="19" t="s">
        <v>661</v>
      </c>
      <c r="C26" s="36">
        <v>28370392421</v>
      </c>
      <c r="D26" s="19" t="s">
        <v>660</v>
      </c>
      <c r="E26" s="15">
        <v>162.06</v>
      </c>
      <c r="F26" s="19" t="s">
        <v>10</v>
      </c>
      <c r="G26" s="28" t="s">
        <v>662</v>
      </c>
    </row>
    <row r="27" spans="1:7" x14ac:dyDescent="0.2">
      <c r="A27" s="11">
        <v>17</v>
      </c>
      <c r="B27" s="44" t="s">
        <v>613</v>
      </c>
      <c r="C27" s="45">
        <v>66253945791</v>
      </c>
      <c r="D27" s="44" t="s">
        <v>67</v>
      </c>
      <c r="E27" s="8">
        <f>60000</f>
        <v>60000</v>
      </c>
      <c r="F27" s="100" t="s">
        <v>10</v>
      </c>
      <c r="G27" s="2" t="s">
        <v>58</v>
      </c>
    </row>
    <row r="28" spans="1:7" x14ac:dyDescent="0.2">
      <c r="A28" s="11">
        <v>18</v>
      </c>
      <c r="B28" s="5" t="s">
        <v>1009</v>
      </c>
      <c r="C28" s="11">
        <v>27712717103</v>
      </c>
      <c r="D28" s="5" t="s">
        <v>1010</v>
      </c>
      <c r="E28" s="8">
        <v>20000</v>
      </c>
      <c r="F28" s="44" t="s">
        <v>10</v>
      </c>
      <c r="G28" s="2" t="s">
        <v>147</v>
      </c>
    </row>
    <row r="29" spans="1:7" ht="12.75" thickBot="1" x14ac:dyDescent="0.25">
      <c r="A29" s="11">
        <v>19</v>
      </c>
      <c r="B29" s="5" t="s">
        <v>755</v>
      </c>
      <c r="C29" s="11">
        <v>44270699963</v>
      </c>
      <c r="D29" s="5" t="s">
        <v>756</v>
      </c>
      <c r="E29" s="18">
        <v>29.7</v>
      </c>
      <c r="F29" s="35" t="s">
        <v>10</v>
      </c>
      <c r="G29" s="32" t="s">
        <v>112</v>
      </c>
    </row>
    <row r="30" spans="1:7" x14ac:dyDescent="0.2">
      <c r="A30" s="84">
        <v>20</v>
      </c>
      <c r="B30" s="82" t="s">
        <v>76</v>
      </c>
      <c r="C30" s="84">
        <v>11471889269</v>
      </c>
      <c r="D30" s="82" t="s">
        <v>77</v>
      </c>
      <c r="E30" s="16">
        <v>6061.36</v>
      </c>
      <c r="F30" s="82" t="s">
        <v>10</v>
      </c>
      <c r="G30" s="31" t="s">
        <v>58</v>
      </c>
    </row>
    <row r="31" spans="1:7" ht="12.75" thickBot="1" x14ac:dyDescent="0.25">
      <c r="A31" s="85"/>
      <c r="B31" s="83"/>
      <c r="C31" s="85"/>
      <c r="D31" s="83"/>
      <c r="E31" s="18">
        <f>10000+582.8+20000</f>
        <v>30582.799999999999</v>
      </c>
      <c r="F31" s="83"/>
      <c r="G31" s="32" t="s">
        <v>23</v>
      </c>
    </row>
    <row r="32" spans="1:7" x14ac:dyDescent="0.2">
      <c r="A32" s="26">
        <v>21</v>
      </c>
      <c r="B32" s="27" t="s">
        <v>78</v>
      </c>
      <c r="C32" s="26">
        <v>27759560625</v>
      </c>
      <c r="D32" s="27" t="s">
        <v>80</v>
      </c>
      <c r="E32" s="17">
        <v>5612.16</v>
      </c>
      <c r="F32" s="62" t="s">
        <v>10</v>
      </c>
      <c r="G32" s="34" t="s">
        <v>79</v>
      </c>
    </row>
    <row r="33" spans="1:7" x14ac:dyDescent="0.2">
      <c r="A33" s="37">
        <v>22</v>
      </c>
      <c r="B33" s="5" t="s">
        <v>1736</v>
      </c>
      <c r="C33" s="11">
        <v>19212513210</v>
      </c>
      <c r="D33" s="5" t="s">
        <v>1737</v>
      </c>
      <c r="E33" s="8">
        <v>161.27000000000001</v>
      </c>
      <c r="F33" s="5" t="s">
        <v>10</v>
      </c>
      <c r="G33" s="2" t="s">
        <v>662</v>
      </c>
    </row>
    <row r="34" spans="1:7" x14ac:dyDescent="0.2">
      <c r="A34" s="37">
        <v>23</v>
      </c>
      <c r="B34" s="5" t="s">
        <v>165</v>
      </c>
      <c r="C34" s="11">
        <v>62534176727</v>
      </c>
      <c r="D34" s="5" t="s">
        <v>222</v>
      </c>
      <c r="E34" s="8">
        <f>2125</f>
        <v>2125</v>
      </c>
      <c r="F34" s="5" t="s">
        <v>10</v>
      </c>
      <c r="G34" s="2" t="s">
        <v>23</v>
      </c>
    </row>
    <row r="35" spans="1:7" x14ac:dyDescent="0.2">
      <c r="A35" s="37">
        <v>24</v>
      </c>
      <c r="B35" s="5" t="s">
        <v>1296</v>
      </c>
      <c r="C35" s="12" t="s">
        <v>1297</v>
      </c>
      <c r="D35" s="5" t="s">
        <v>1298</v>
      </c>
      <c r="E35" s="8">
        <v>1667</v>
      </c>
      <c r="F35" s="5" t="s">
        <v>10</v>
      </c>
      <c r="G35" s="2" t="s">
        <v>23</v>
      </c>
    </row>
    <row r="36" spans="1:7" x14ac:dyDescent="0.2">
      <c r="A36" s="37">
        <v>25</v>
      </c>
      <c r="B36" s="5" t="s">
        <v>100</v>
      </c>
      <c r="C36" s="11" t="s">
        <v>17</v>
      </c>
      <c r="D36" s="5" t="s">
        <v>17</v>
      </c>
      <c r="E36" s="8">
        <v>281.41000000000003</v>
      </c>
      <c r="F36" s="5" t="s">
        <v>10</v>
      </c>
      <c r="G36" s="2" t="s">
        <v>99</v>
      </c>
    </row>
    <row r="37" spans="1:7" x14ac:dyDescent="0.2">
      <c r="A37" s="37">
        <v>26</v>
      </c>
      <c r="B37" s="5" t="s">
        <v>17</v>
      </c>
      <c r="C37" s="11" t="s">
        <v>17</v>
      </c>
      <c r="D37" s="5" t="s">
        <v>17</v>
      </c>
      <c r="E37" s="8">
        <v>672</v>
      </c>
      <c r="F37" s="5" t="s">
        <v>10</v>
      </c>
      <c r="G37" s="2" t="s">
        <v>101</v>
      </c>
    </row>
    <row r="38" spans="1:7" x14ac:dyDescent="0.2">
      <c r="A38" s="37">
        <v>27</v>
      </c>
      <c r="B38" s="5" t="s">
        <v>711</v>
      </c>
      <c r="C38" s="11">
        <v>33813961569</v>
      </c>
      <c r="D38" s="5" t="s">
        <v>712</v>
      </c>
      <c r="E38" s="8">
        <f>361.68+56.27</f>
        <v>417.95</v>
      </c>
      <c r="F38" s="5" t="s">
        <v>10</v>
      </c>
      <c r="G38" s="2" t="s">
        <v>112</v>
      </c>
    </row>
    <row r="39" spans="1:7" x14ac:dyDescent="0.2">
      <c r="A39" s="37">
        <v>28</v>
      </c>
      <c r="B39" s="5" t="s">
        <v>890</v>
      </c>
      <c r="C39" s="12" t="s">
        <v>892</v>
      </c>
      <c r="D39" s="5" t="s">
        <v>891</v>
      </c>
      <c r="E39" s="8">
        <v>300</v>
      </c>
      <c r="F39" s="5" t="s">
        <v>10</v>
      </c>
      <c r="G39" s="2" t="s">
        <v>23</v>
      </c>
    </row>
    <row r="40" spans="1:7" x14ac:dyDescent="0.2">
      <c r="A40" s="37">
        <v>29</v>
      </c>
      <c r="B40" s="5" t="s">
        <v>109</v>
      </c>
      <c r="C40" s="11">
        <v>32179081874</v>
      </c>
      <c r="D40" s="5" t="s">
        <v>110</v>
      </c>
      <c r="E40" s="15">
        <f>51.85+763.19</f>
        <v>815.04000000000008</v>
      </c>
      <c r="F40" s="19" t="s">
        <v>10</v>
      </c>
      <c r="G40" s="28" t="s">
        <v>23</v>
      </c>
    </row>
    <row r="41" spans="1:7" ht="12.75" thickBot="1" x14ac:dyDescent="0.25">
      <c r="A41" s="37">
        <v>30</v>
      </c>
      <c r="B41" s="23" t="s">
        <v>113</v>
      </c>
      <c r="C41" s="24">
        <v>76173743169</v>
      </c>
      <c r="D41" s="23" t="s">
        <v>111</v>
      </c>
      <c r="E41" s="8">
        <f>518.26</f>
        <v>518.26</v>
      </c>
      <c r="F41" s="23" t="s">
        <v>10</v>
      </c>
      <c r="G41" s="2" t="s">
        <v>108</v>
      </c>
    </row>
    <row r="42" spans="1:7" x14ac:dyDescent="0.2">
      <c r="A42" s="84">
        <v>31</v>
      </c>
      <c r="B42" s="82" t="s">
        <v>119</v>
      </c>
      <c r="C42" s="84">
        <v>34976993601</v>
      </c>
      <c r="D42" s="82" t="s">
        <v>120</v>
      </c>
      <c r="E42" s="16">
        <f>136.36+223.9</f>
        <v>360.26</v>
      </c>
      <c r="F42" s="82" t="s">
        <v>10</v>
      </c>
      <c r="G42" s="31" t="s">
        <v>118</v>
      </c>
    </row>
    <row r="43" spans="1:7" ht="12.75" thickBot="1" x14ac:dyDescent="0.25">
      <c r="A43" s="85"/>
      <c r="B43" s="83"/>
      <c r="C43" s="85"/>
      <c r="D43" s="83"/>
      <c r="E43" s="18">
        <v>265.38</v>
      </c>
      <c r="F43" s="83"/>
      <c r="G43" s="32" t="s">
        <v>287</v>
      </c>
    </row>
    <row r="44" spans="1:7" x14ac:dyDescent="0.2">
      <c r="A44" s="37">
        <v>32</v>
      </c>
      <c r="B44" s="33" t="s">
        <v>17</v>
      </c>
      <c r="C44" s="37" t="s">
        <v>17</v>
      </c>
      <c r="D44" s="33" t="s">
        <v>17</v>
      </c>
      <c r="E44" s="17">
        <v>1753.1</v>
      </c>
      <c r="F44" s="33" t="s">
        <v>10</v>
      </c>
      <c r="G44" s="34" t="s">
        <v>121</v>
      </c>
    </row>
    <row r="45" spans="1:7" x14ac:dyDescent="0.2">
      <c r="A45" s="11">
        <v>33</v>
      </c>
      <c r="B45" s="5" t="s">
        <v>17</v>
      </c>
      <c r="C45" s="11" t="s">
        <v>17</v>
      </c>
      <c r="D45" s="5" t="s">
        <v>17</v>
      </c>
      <c r="E45" s="8">
        <f>25385.55+47.78</f>
        <v>25433.329999999998</v>
      </c>
      <c r="F45" s="5" t="s">
        <v>10</v>
      </c>
      <c r="G45" s="2" t="s">
        <v>122</v>
      </c>
    </row>
    <row r="46" spans="1:7" x14ac:dyDescent="0.2">
      <c r="A46" s="11">
        <v>34</v>
      </c>
      <c r="B46" s="5" t="s">
        <v>1361</v>
      </c>
      <c r="C46" s="11">
        <v>40343790595</v>
      </c>
      <c r="D46" s="5" t="s">
        <v>1362</v>
      </c>
      <c r="E46" s="8">
        <v>561</v>
      </c>
      <c r="F46" s="5" t="s">
        <v>10</v>
      </c>
      <c r="G46" s="2" t="s">
        <v>23</v>
      </c>
    </row>
    <row r="47" spans="1:7" x14ac:dyDescent="0.2">
      <c r="A47" s="11">
        <v>35</v>
      </c>
      <c r="B47" s="23" t="s">
        <v>132</v>
      </c>
      <c r="C47" s="24">
        <v>81793146560</v>
      </c>
      <c r="D47" s="23" t="s">
        <v>133</v>
      </c>
      <c r="E47" s="8">
        <f>2074.25</f>
        <v>2074.25</v>
      </c>
      <c r="F47" s="5" t="s">
        <v>10</v>
      </c>
      <c r="G47" s="2" t="s">
        <v>292</v>
      </c>
    </row>
    <row r="48" spans="1:7" x14ac:dyDescent="0.2">
      <c r="A48" s="11">
        <v>36</v>
      </c>
      <c r="B48" s="5" t="s">
        <v>985</v>
      </c>
      <c r="C48" s="11">
        <v>92510683607</v>
      </c>
      <c r="D48" s="5" t="s">
        <v>986</v>
      </c>
      <c r="E48" s="8">
        <f>287.5+48.49</f>
        <v>335.99</v>
      </c>
      <c r="F48" s="5" t="s">
        <v>10</v>
      </c>
      <c r="G48" s="2" t="s">
        <v>173</v>
      </c>
    </row>
    <row r="49" spans="1:7" x14ac:dyDescent="0.2">
      <c r="A49" s="11">
        <v>37</v>
      </c>
      <c r="B49" s="5" t="s">
        <v>546</v>
      </c>
      <c r="C49" s="11">
        <v>56717147376</v>
      </c>
      <c r="D49" s="5" t="s">
        <v>547</v>
      </c>
      <c r="E49" s="8">
        <v>1018.4</v>
      </c>
      <c r="F49" s="5" t="s">
        <v>10</v>
      </c>
      <c r="G49" s="2" t="s">
        <v>23</v>
      </c>
    </row>
    <row r="50" spans="1:7" x14ac:dyDescent="0.2">
      <c r="A50" s="11">
        <v>38</v>
      </c>
      <c r="B50" s="5" t="s">
        <v>138</v>
      </c>
      <c r="C50" s="11">
        <v>46163832762</v>
      </c>
      <c r="D50" s="5" t="s">
        <v>202</v>
      </c>
      <c r="E50" s="8">
        <v>138.66</v>
      </c>
      <c r="F50" s="5" t="s">
        <v>10</v>
      </c>
      <c r="G50" s="2" t="s">
        <v>112</v>
      </c>
    </row>
    <row r="51" spans="1:7" x14ac:dyDescent="0.2">
      <c r="A51" s="11">
        <v>39</v>
      </c>
      <c r="B51" s="5" t="s">
        <v>140</v>
      </c>
      <c r="C51" s="11">
        <v>41412434130</v>
      </c>
      <c r="D51" s="5" t="s">
        <v>197</v>
      </c>
      <c r="E51" s="8">
        <v>67.28</v>
      </c>
      <c r="F51" s="5" t="s">
        <v>10</v>
      </c>
      <c r="G51" s="2" t="s">
        <v>112</v>
      </c>
    </row>
    <row r="52" spans="1:7" x14ac:dyDescent="0.2">
      <c r="A52" s="11">
        <v>40</v>
      </c>
      <c r="B52" s="5" t="s">
        <v>142</v>
      </c>
      <c r="C52" s="12" t="s">
        <v>203</v>
      </c>
      <c r="D52" s="5" t="s">
        <v>204</v>
      </c>
      <c r="E52" s="8">
        <f>94.51+123.52+63.01</f>
        <v>281.04000000000002</v>
      </c>
      <c r="F52" s="5" t="s">
        <v>10</v>
      </c>
      <c r="G52" s="2" t="s">
        <v>112</v>
      </c>
    </row>
    <row r="53" spans="1:7" ht="12.75" thickBot="1" x14ac:dyDescent="0.25">
      <c r="A53" s="11">
        <v>41</v>
      </c>
      <c r="B53" s="5" t="s">
        <v>143</v>
      </c>
      <c r="C53" s="11">
        <v>85584865987</v>
      </c>
      <c r="D53" s="5" t="s">
        <v>205</v>
      </c>
      <c r="E53" s="8">
        <f>1592.26+303.93</f>
        <v>1896.19</v>
      </c>
      <c r="F53" s="5" t="s">
        <v>10</v>
      </c>
      <c r="G53" s="2" t="s">
        <v>112</v>
      </c>
    </row>
    <row r="54" spans="1:7" x14ac:dyDescent="0.2">
      <c r="A54" s="84">
        <v>42</v>
      </c>
      <c r="B54" s="82" t="s">
        <v>144</v>
      </c>
      <c r="C54" s="84" t="s">
        <v>740</v>
      </c>
      <c r="D54" s="82" t="s">
        <v>740</v>
      </c>
      <c r="E54" s="16">
        <f>126.08+418.05</f>
        <v>544.13</v>
      </c>
      <c r="F54" s="97" t="s">
        <v>10</v>
      </c>
      <c r="G54" s="31" t="s">
        <v>505</v>
      </c>
    </row>
    <row r="55" spans="1:7" x14ac:dyDescent="0.2">
      <c r="A55" s="70"/>
      <c r="B55" s="69"/>
      <c r="C55" s="70"/>
      <c r="D55" s="69"/>
      <c r="E55" s="8">
        <v>1377.09</v>
      </c>
      <c r="F55" s="72"/>
      <c r="G55" s="2" t="s">
        <v>1005</v>
      </c>
    </row>
    <row r="56" spans="1:7" x14ac:dyDescent="0.2">
      <c r="A56" s="70"/>
      <c r="B56" s="69"/>
      <c r="C56" s="70"/>
      <c r="D56" s="69"/>
      <c r="E56" s="8">
        <v>1727.32</v>
      </c>
      <c r="F56" s="72"/>
      <c r="G56" s="41" t="s">
        <v>1738</v>
      </c>
    </row>
    <row r="57" spans="1:7" ht="12.75" thickBot="1" x14ac:dyDescent="0.25">
      <c r="A57" s="85"/>
      <c r="B57" s="83"/>
      <c r="C57" s="85"/>
      <c r="D57" s="83"/>
      <c r="E57" s="18">
        <v>1344</v>
      </c>
      <c r="F57" s="98"/>
      <c r="G57" s="32" t="s">
        <v>145</v>
      </c>
    </row>
    <row r="58" spans="1:7" x14ac:dyDescent="0.2">
      <c r="A58" s="26">
        <v>43</v>
      </c>
      <c r="B58" s="58" t="s">
        <v>868</v>
      </c>
      <c r="C58" s="26">
        <v>11374156664</v>
      </c>
      <c r="D58" s="58" t="s">
        <v>869</v>
      </c>
      <c r="E58" s="17">
        <f>184.13</f>
        <v>184.13</v>
      </c>
      <c r="F58" s="63" t="s">
        <v>10</v>
      </c>
      <c r="G58" s="34" t="s">
        <v>147</v>
      </c>
    </row>
    <row r="59" spans="1:7" x14ac:dyDescent="0.2">
      <c r="A59" s="11">
        <v>44</v>
      </c>
      <c r="B59" s="5" t="s">
        <v>405</v>
      </c>
      <c r="C59" s="11">
        <v>38411868043</v>
      </c>
      <c r="D59" s="5" t="s">
        <v>406</v>
      </c>
      <c r="E59" s="8">
        <f>5000+6853.75</f>
        <v>11853.75</v>
      </c>
      <c r="F59" s="5" t="s">
        <v>10</v>
      </c>
      <c r="G59" s="2" t="s">
        <v>23</v>
      </c>
    </row>
    <row r="60" spans="1:7" x14ac:dyDescent="0.2">
      <c r="A60" s="11">
        <v>45</v>
      </c>
      <c r="B60" s="5" t="s">
        <v>282</v>
      </c>
      <c r="C60" s="11">
        <v>55175013491</v>
      </c>
      <c r="D60" s="5" t="s">
        <v>283</v>
      </c>
      <c r="E60" s="8">
        <f>62.25</f>
        <v>62.25</v>
      </c>
      <c r="F60" s="5" t="s">
        <v>10</v>
      </c>
      <c r="G60" s="2" t="s">
        <v>23</v>
      </c>
    </row>
    <row r="61" spans="1:7" x14ac:dyDescent="0.2">
      <c r="A61" s="11">
        <v>46</v>
      </c>
      <c r="B61" s="5" t="s">
        <v>364</v>
      </c>
      <c r="C61" s="11">
        <v>42769559951</v>
      </c>
      <c r="D61" s="5" t="s">
        <v>365</v>
      </c>
      <c r="E61" s="8">
        <f>4467.56+10000</f>
        <v>14467.560000000001</v>
      </c>
      <c r="F61" s="5" t="s">
        <v>10</v>
      </c>
      <c r="G61" s="2" t="s">
        <v>23</v>
      </c>
    </row>
    <row r="62" spans="1:7" x14ac:dyDescent="0.2">
      <c r="A62" s="11">
        <v>47</v>
      </c>
      <c r="B62" s="5" t="s">
        <v>857</v>
      </c>
      <c r="C62" s="11">
        <v>29035933600</v>
      </c>
      <c r="D62" s="5" t="s">
        <v>447</v>
      </c>
      <c r="E62" s="8">
        <v>3715.34</v>
      </c>
      <c r="F62" s="5" t="s">
        <v>10</v>
      </c>
      <c r="G62" s="2" t="s">
        <v>263</v>
      </c>
    </row>
    <row r="63" spans="1:7" x14ac:dyDescent="0.2">
      <c r="A63" s="11">
        <v>48</v>
      </c>
      <c r="B63" s="5" t="s">
        <v>1739</v>
      </c>
      <c r="C63" s="11">
        <v>95962863587</v>
      </c>
      <c r="D63" s="5" t="s">
        <v>1740</v>
      </c>
      <c r="E63" s="8">
        <v>226</v>
      </c>
      <c r="F63" s="5" t="s">
        <v>10</v>
      </c>
      <c r="G63" s="2" t="s">
        <v>287</v>
      </c>
    </row>
    <row r="64" spans="1:7" x14ac:dyDescent="0.2">
      <c r="A64" s="11">
        <v>49</v>
      </c>
      <c r="B64" s="5" t="s">
        <v>296</v>
      </c>
      <c r="C64" s="11">
        <v>83416546499</v>
      </c>
      <c r="D64" s="5" t="s">
        <v>299</v>
      </c>
      <c r="E64" s="8">
        <v>37.49</v>
      </c>
      <c r="F64" s="5" t="s">
        <v>10</v>
      </c>
      <c r="G64" s="2" t="s">
        <v>64</v>
      </c>
    </row>
    <row r="65" spans="1:7" x14ac:dyDescent="0.2">
      <c r="A65" s="11">
        <v>50</v>
      </c>
      <c r="B65" s="44" t="s">
        <v>170</v>
      </c>
      <c r="C65" s="45">
        <v>52233171260</v>
      </c>
      <c r="D65" s="44" t="s">
        <v>224</v>
      </c>
      <c r="E65" s="8">
        <f>300+2175</f>
        <v>2475</v>
      </c>
      <c r="F65" s="44" t="s">
        <v>10</v>
      </c>
      <c r="G65" s="2" t="s">
        <v>23</v>
      </c>
    </row>
    <row r="66" spans="1:7" x14ac:dyDescent="0.2">
      <c r="A66" s="11">
        <v>51</v>
      </c>
      <c r="B66" s="27" t="s">
        <v>168</v>
      </c>
      <c r="C66" s="26">
        <v>87682591133</v>
      </c>
      <c r="D66" s="27" t="s">
        <v>223</v>
      </c>
      <c r="E66" s="17">
        <f>4732.5+15750+12000</f>
        <v>32482.5</v>
      </c>
      <c r="F66" s="27" t="s">
        <v>10</v>
      </c>
      <c r="G66" s="34" t="s">
        <v>23</v>
      </c>
    </row>
    <row r="67" spans="1:7" x14ac:dyDescent="0.2">
      <c r="A67" s="11">
        <v>52</v>
      </c>
      <c r="B67" s="58" t="s">
        <v>169</v>
      </c>
      <c r="C67" s="37">
        <v>19849957757</v>
      </c>
      <c r="D67" s="58" t="s">
        <v>225</v>
      </c>
      <c r="E67" s="17">
        <f>3353.45+4994.5+3000</f>
        <v>11347.95</v>
      </c>
      <c r="F67" s="58" t="s">
        <v>10</v>
      </c>
      <c r="G67" s="34" t="s">
        <v>23</v>
      </c>
    </row>
    <row r="68" spans="1:7" x14ac:dyDescent="0.2">
      <c r="A68" s="11">
        <v>53</v>
      </c>
      <c r="B68" s="5" t="s">
        <v>154</v>
      </c>
      <c r="C68" s="11">
        <v>33001753417</v>
      </c>
      <c r="D68" s="5" t="s">
        <v>213</v>
      </c>
      <c r="E68" s="8">
        <v>5000</v>
      </c>
      <c r="F68" s="5" t="s">
        <v>10</v>
      </c>
      <c r="G68" s="2" t="s">
        <v>23</v>
      </c>
    </row>
    <row r="69" spans="1:7" x14ac:dyDescent="0.2">
      <c r="A69" s="11">
        <v>54</v>
      </c>
      <c r="B69" s="5" t="s">
        <v>17</v>
      </c>
      <c r="C69" s="11" t="s">
        <v>17</v>
      </c>
      <c r="D69" s="5" t="s">
        <v>17</v>
      </c>
      <c r="E69" s="8">
        <f>1400+1400+1400+1400+5600</f>
        <v>11200</v>
      </c>
      <c r="F69" s="5" t="s">
        <v>10</v>
      </c>
      <c r="G69" s="2" t="s">
        <v>177</v>
      </c>
    </row>
    <row r="70" spans="1:7" x14ac:dyDescent="0.2">
      <c r="A70" s="11">
        <v>55</v>
      </c>
      <c r="B70" s="5" t="s">
        <v>17</v>
      </c>
      <c r="C70" s="11" t="s">
        <v>17</v>
      </c>
      <c r="D70" s="5" t="s">
        <v>17</v>
      </c>
      <c r="E70" s="8">
        <f>72+896.16</f>
        <v>968.16</v>
      </c>
      <c r="F70" s="5" t="s">
        <v>10</v>
      </c>
      <c r="G70" s="2" t="s">
        <v>178</v>
      </c>
    </row>
    <row r="71" spans="1:7" x14ac:dyDescent="0.2">
      <c r="A71" s="11">
        <v>56</v>
      </c>
      <c r="B71" s="5" t="s">
        <v>230</v>
      </c>
      <c r="C71" s="11">
        <v>62969535840</v>
      </c>
      <c r="D71" s="5" t="s">
        <v>231</v>
      </c>
      <c r="E71" s="8">
        <f>111.54</f>
        <v>111.54</v>
      </c>
      <c r="F71" s="5" t="s">
        <v>10</v>
      </c>
      <c r="G71" s="2" t="s">
        <v>23</v>
      </c>
    </row>
    <row r="72" spans="1:7" x14ac:dyDescent="0.2">
      <c r="A72" s="11">
        <v>57</v>
      </c>
      <c r="B72" s="5" t="s">
        <v>704</v>
      </c>
      <c r="C72" s="11">
        <v>11294943436</v>
      </c>
      <c r="D72" s="5" t="s">
        <v>705</v>
      </c>
      <c r="E72" s="8">
        <f>76.53+76.53</f>
        <v>153.06</v>
      </c>
      <c r="F72" s="5" t="s">
        <v>10</v>
      </c>
      <c r="G72" s="2" t="s">
        <v>112</v>
      </c>
    </row>
    <row r="73" spans="1:7" x14ac:dyDescent="0.2">
      <c r="A73" s="11">
        <v>58</v>
      </c>
      <c r="B73" s="5" t="s">
        <v>676</v>
      </c>
      <c r="C73" s="11" t="s">
        <v>677</v>
      </c>
      <c r="D73" s="5" t="s">
        <v>678</v>
      </c>
      <c r="E73" s="8">
        <f>64.28</f>
        <v>64.28</v>
      </c>
      <c r="F73" s="5" t="s">
        <v>10</v>
      </c>
      <c r="G73" s="2" t="s">
        <v>23</v>
      </c>
    </row>
    <row r="74" spans="1:7" x14ac:dyDescent="0.2">
      <c r="A74" s="11">
        <v>59</v>
      </c>
      <c r="B74" s="5" t="s">
        <v>17</v>
      </c>
      <c r="C74" s="11" t="s">
        <v>17</v>
      </c>
      <c r="D74" s="5" t="s">
        <v>17</v>
      </c>
      <c r="E74" s="8">
        <v>413.44</v>
      </c>
      <c r="F74" s="5" t="s">
        <v>10</v>
      </c>
      <c r="G74" s="2" t="s">
        <v>194</v>
      </c>
    </row>
    <row r="75" spans="1:7" x14ac:dyDescent="0.2">
      <c r="A75" s="11">
        <v>60</v>
      </c>
      <c r="B75" s="5" t="s">
        <v>242</v>
      </c>
      <c r="C75" s="11">
        <v>49800593791</v>
      </c>
      <c r="D75" s="5" t="s">
        <v>244</v>
      </c>
      <c r="E75" s="8">
        <f>1776.76+273.63+2404.46+306.26+4981.6+1387.53</f>
        <v>11130.240000000002</v>
      </c>
      <c r="F75" s="5" t="s">
        <v>10</v>
      </c>
      <c r="G75" s="2" t="s">
        <v>243</v>
      </c>
    </row>
    <row r="76" spans="1:7" x14ac:dyDescent="0.2">
      <c r="A76" s="11">
        <v>61</v>
      </c>
      <c r="B76" s="44" t="s">
        <v>248</v>
      </c>
      <c r="C76" s="45">
        <v>47428597158</v>
      </c>
      <c r="D76" s="44" t="s">
        <v>250</v>
      </c>
      <c r="E76" s="8">
        <f>1122.38+601.88</f>
        <v>1724.2600000000002</v>
      </c>
      <c r="F76" s="44" t="s">
        <v>10</v>
      </c>
      <c r="G76" s="2" t="s">
        <v>23</v>
      </c>
    </row>
    <row r="77" spans="1:7" x14ac:dyDescent="0.2">
      <c r="A77" s="11">
        <v>62</v>
      </c>
      <c r="B77" s="5" t="s">
        <v>252</v>
      </c>
      <c r="C77" s="12" t="s">
        <v>254</v>
      </c>
      <c r="D77" s="5" t="s">
        <v>253</v>
      </c>
      <c r="E77" s="8">
        <v>316.75</v>
      </c>
      <c r="F77" s="5" t="s">
        <v>10</v>
      </c>
      <c r="G77" s="2" t="s">
        <v>112</v>
      </c>
    </row>
    <row r="78" spans="1:7" x14ac:dyDescent="0.2">
      <c r="A78" s="11">
        <v>63</v>
      </c>
      <c r="B78" s="5" t="s">
        <v>1070</v>
      </c>
      <c r="C78" s="11">
        <v>73294314024</v>
      </c>
      <c r="D78" s="5" t="s">
        <v>675</v>
      </c>
      <c r="E78" s="8">
        <v>856.99</v>
      </c>
      <c r="F78" s="5" t="s">
        <v>10</v>
      </c>
      <c r="G78" s="2" t="s">
        <v>662</v>
      </c>
    </row>
    <row r="79" spans="1:7" x14ac:dyDescent="0.2">
      <c r="A79" s="11">
        <v>64</v>
      </c>
      <c r="B79" s="5" t="s">
        <v>265</v>
      </c>
      <c r="C79" s="11">
        <v>63988426425</v>
      </c>
      <c r="D79" s="5" t="s">
        <v>266</v>
      </c>
      <c r="E79" s="8">
        <f>430.5+8255.76+5737.19+133.88+18840.62</f>
        <v>33397.949999999997</v>
      </c>
      <c r="F79" s="5" t="s">
        <v>10</v>
      </c>
      <c r="G79" s="2" t="s">
        <v>23</v>
      </c>
    </row>
    <row r="80" spans="1:7" x14ac:dyDescent="0.2">
      <c r="A80" s="11">
        <v>65</v>
      </c>
      <c r="B80" s="23" t="s">
        <v>131</v>
      </c>
      <c r="C80" s="24">
        <v>70133616033</v>
      </c>
      <c r="D80" s="23" t="s">
        <v>134</v>
      </c>
      <c r="E80" s="8">
        <f>26.59</f>
        <v>26.59</v>
      </c>
      <c r="F80" s="5" t="s">
        <v>10</v>
      </c>
      <c r="G80" s="2" t="s">
        <v>292</v>
      </c>
    </row>
    <row r="81" spans="1:7" x14ac:dyDescent="0.2">
      <c r="A81" s="11">
        <v>66</v>
      </c>
      <c r="B81" s="50" t="s">
        <v>293</v>
      </c>
      <c r="C81" s="45">
        <v>65952859647</v>
      </c>
      <c r="D81" s="44" t="s">
        <v>295</v>
      </c>
      <c r="E81" s="8">
        <f>33172.5</f>
        <v>33172.5</v>
      </c>
      <c r="F81" s="50" t="s">
        <v>10</v>
      </c>
      <c r="G81" s="2" t="s">
        <v>23</v>
      </c>
    </row>
    <row r="82" spans="1:7" x14ac:dyDescent="0.2">
      <c r="A82" s="11">
        <v>67</v>
      </c>
      <c r="B82" s="5" t="s">
        <v>284</v>
      </c>
      <c r="C82" s="11">
        <v>10235187780</v>
      </c>
      <c r="D82" s="5" t="s">
        <v>286</v>
      </c>
      <c r="E82" s="8">
        <f>354.3</f>
        <v>354.3</v>
      </c>
      <c r="F82" s="5" t="s">
        <v>10</v>
      </c>
      <c r="G82" s="2" t="s">
        <v>285</v>
      </c>
    </row>
    <row r="83" spans="1:7" x14ac:dyDescent="0.2">
      <c r="A83" s="11">
        <v>68</v>
      </c>
      <c r="B83" s="5" t="s">
        <v>301</v>
      </c>
      <c r="C83" s="11">
        <v>60314119747</v>
      </c>
      <c r="D83" s="5" t="s">
        <v>298</v>
      </c>
      <c r="E83" s="8">
        <f>8437.66+92801.89</f>
        <v>101239.55</v>
      </c>
      <c r="F83" s="5" t="s">
        <v>10</v>
      </c>
      <c r="G83" s="2" t="s">
        <v>23</v>
      </c>
    </row>
    <row r="84" spans="1:7" x14ac:dyDescent="0.2">
      <c r="A84" s="11">
        <v>69</v>
      </c>
      <c r="B84" s="5" t="s">
        <v>308</v>
      </c>
      <c r="C84" s="12" t="s">
        <v>310</v>
      </c>
      <c r="D84" s="5" t="s">
        <v>309</v>
      </c>
      <c r="E84" s="8">
        <f>2750+3000+4175+7077.5</f>
        <v>17002.5</v>
      </c>
      <c r="F84" s="5" t="s">
        <v>10</v>
      </c>
      <c r="G84" s="2" t="s">
        <v>23</v>
      </c>
    </row>
    <row r="85" spans="1:7" x14ac:dyDescent="0.2">
      <c r="A85" s="11">
        <v>70</v>
      </c>
      <c r="B85" s="5" t="s">
        <v>311</v>
      </c>
      <c r="C85" s="11">
        <v>95243482140</v>
      </c>
      <c r="D85" s="5" t="s">
        <v>312</v>
      </c>
      <c r="E85" s="8">
        <f>564.94+775.64</f>
        <v>1340.58</v>
      </c>
      <c r="F85" s="5" t="s">
        <v>10</v>
      </c>
      <c r="G85" s="2" t="s">
        <v>23</v>
      </c>
    </row>
    <row r="86" spans="1:7" x14ac:dyDescent="0.2">
      <c r="A86" s="11">
        <v>71</v>
      </c>
      <c r="B86" s="5" t="s">
        <v>1011</v>
      </c>
      <c r="C86" s="11">
        <v>57270798205</v>
      </c>
      <c r="D86" s="5" t="s">
        <v>1012</v>
      </c>
      <c r="E86" s="8">
        <f>995.5+498.56+995.5</f>
        <v>2489.56</v>
      </c>
      <c r="F86" s="5" t="s">
        <v>10</v>
      </c>
      <c r="G86" s="2" t="s">
        <v>12</v>
      </c>
    </row>
    <row r="87" spans="1:7" x14ac:dyDescent="0.2">
      <c r="A87" s="11">
        <v>72</v>
      </c>
      <c r="B87" s="5" t="s">
        <v>88</v>
      </c>
      <c r="C87" s="11">
        <v>42889250808</v>
      </c>
      <c r="D87" s="5" t="s">
        <v>90</v>
      </c>
      <c r="E87" s="8">
        <v>84.14</v>
      </c>
      <c r="F87" s="5" t="s">
        <v>10</v>
      </c>
      <c r="G87" s="2" t="s">
        <v>86</v>
      </c>
    </row>
    <row r="88" spans="1:7" x14ac:dyDescent="0.2">
      <c r="A88" s="11">
        <v>73</v>
      </c>
      <c r="B88" s="5" t="s">
        <v>341</v>
      </c>
      <c r="C88" s="11">
        <v>78969071801</v>
      </c>
      <c r="D88" s="5" t="s">
        <v>342</v>
      </c>
      <c r="E88" s="8">
        <f>559.03+87+1356.38</f>
        <v>2002.41</v>
      </c>
      <c r="F88" s="5" t="s">
        <v>10</v>
      </c>
      <c r="G88" s="2" t="s">
        <v>23</v>
      </c>
    </row>
    <row r="89" spans="1:7" x14ac:dyDescent="0.2">
      <c r="A89" s="11">
        <v>74</v>
      </c>
      <c r="B89" s="5" t="s">
        <v>432</v>
      </c>
      <c r="C89" s="11">
        <v>48633701387</v>
      </c>
      <c r="D89" s="5" t="s">
        <v>433</v>
      </c>
      <c r="E89" s="8">
        <f>7.34+587.6+5.24</f>
        <v>600.18000000000006</v>
      </c>
      <c r="F89" s="5" t="s">
        <v>10</v>
      </c>
      <c r="G89" s="2" t="s">
        <v>23</v>
      </c>
    </row>
    <row r="90" spans="1:7" x14ac:dyDescent="0.2">
      <c r="A90" s="11">
        <v>75</v>
      </c>
      <c r="B90" s="5" t="s">
        <v>374</v>
      </c>
      <c r="C90" s="11">
        <v>48249084626</v>
      </c>
      <c r="D90" s="5" t="s">
        <v>375</v>
      </c>
      <c r="E90" s="8">
        <f>162.28+256.88</f>
        <v>419.15999999999997</v>
      </c>
      <c r="F90" s="5" t="s">
        <v>10</v>
      </c>
      <c r="G90" s="2" t="s">
        <v>23</v>
      </c>
    </row>
    <row r="91" spans="1:7" x14ac:dyDescent="0.2">
      <c r="A91" s="11">
        <v>76</v>
      </c>
      <c r="B91" s="5" t="s">
        <v>372</v>
      </c>
      <c r="C91" s="11">
        <v>64021574271</v>
      </c>
      <c r="D91" s="5" t="s">
        <v>373</v>
      </c>
      <c r="E91" s="8">
        <f>806.55+212.51</f>
        <v>1019.06</v>
      </c>
      <c r="F91" s="5" t="s">
        <v>10</v>
      </c>
      <c r="G91" s="2" t="s">
        <v>23</v>
      </c>
    </row>
    <row r="92" spans="1:7" x14ac:dyDescent="0.2">
      <c r="A92" s="11">
        <v>77</v>
      </c>
      <c r="B92" s="5" t="s">
        <v>386</v>
      </c>
      <c r="C92" s="11">
        <v>60365429880</v>
      </c>
      <c r="D92" s="5" t="s">
        <v>387</v>
      </c>
      <c r="E92" s="8">
        <f>481.26+825.63</f>
        <v>1306.8899999999999</v>
      </c>
      <c r="F92" s="5" t="s">
        <v>10</v>
      </c>
      <c r="G92" s="2" t="s">
        <v>23</v>
      </c>
    </row>
    <row r="93" spans="1:7" x14ac:dyDescent="0.2">
      <c r="A93" s="11">
        <v>78</v>
      </c>
      <c r="B93" s="5" t="s">
        <v>391</v>
      </c>
      <c r="C93" s="11">
        <v>37879152548</v>
      </c>
      <c r="D93" s="5" t="s">
        <v>392</v>
      </c>
      <c r="E93" s="8">
        <f>943.5</f>
        <v>943.5</v>
      </c>
      <c r="F93" s="5" t="s">
        <v>10</v>
      </c>
      <c r="G93" s="2" t="s">
        <v>23</v>
      </c>
    </row>
    <row r="94" spans="1:7" x14ac:dyDescent="0.2">
      <c r="A94" s="11">
        <v>79</v>
      </c>
      <c r="B94" s="5" t="s">
        <v>459</v>
      </c>
      <c r="C94" s="11">
        <v>64008199572</v>
      </c>
      <c r="D94" s="5" t="s">
        <v>460</v>
      </c>
      <c r="E94" s="8">
        <f>687.25+895.1+134</f>
        <v>1716.35</v>
      </c>
      <c r="F94" s="5" t="s">
        <v>10</v>
      </c>
      <c r="G94" s="2" t="s">
        <v>23</v>
      </c>
    </row>
    <row r="95" spans="1:7" x14ac:dyDescent="0.2">
      <c r="A95" s="11">
        <v>80</v>
      </c>
      <c r="B95" s="5" t="s">
        <v>395</v>
      </c>
      <c r="C95" s="11">
        <v>39048902955</v>
      </c>
      <c r="D95" s="5" t="s">
        <v>396</v>
      </c>
      <c r="E95" s="8">
        <v>820.31</v>
      </c>
      <c r="F95" s="5" t="s">
        <v>10</v>
      </c>
      <c r="G95" s="2" t="s">
        <v>64</v>
      </c>
    </row>
    <row r="96" spans="1:7" x14ac:dyDescent="0.2">
      <c r="A96" s="11">
        <v>81</v>
      </c>
      <c r="B96" s="5" t="s">
        <v>397</v>
      </c>
      <c r="C96" s="11">
        <v>85375838060</v>
      </c>
      <c r="D96" s="5" t="s">
        <v>398</v>
      </c>
      <c r="E96" s="8">
        <f>285.5+28.55</f>
        <v>314.05</v>
      </c>
      <c r="F96" s="5" t="s">
        <v>10</v>
      </c>
      <c r="G96" s="2" t="s">
        <v>64</v>
      </c>
    </row>
    <row r="97" spans="1:7" x14ac:dyDescent="0.2">
      <c r="A97" s="11">
        <v>82</v>
      </c>
      <c r="B97" s="5" t="s">
        <v>709</v>
      </c>
      <c r="C97" s="11">
        <v>34604734054</v>
      </c>
      <c r="D97" s="5" t="s">
        <v>710</v>
      </c>
      <c r="E97" s="8">
        <v>88.94</v>
      </c>
      <c r="F97" s="5" t="s">
        <v>10</v>
      </c>
      <c r="G97" s="2" t="s">
        <v>330</v>
      </c>
    </row>
    <row r="98" spans="1:7" x14ac:dyDescent="0.2">
      <c r="A98" s="11">
        <v>83</v>
      </c>
      <c r="B98" s="5" t="s">
        <v>339</v>
      </c>
      <c r="C98" s="11">
        <v>22740118957</v>
      </c>
      <c r="D98" s="5" t="s">
        <v>340</v>
      </c>
      <c r="E98" s="8">
        <f>1640+1640+1282</f>
        <v>4562</v>
      </c>
      <c r="F98" s="5" t="s">
        <v>10</v>
      </c>
      <c r="G98" s="2" t="s">
        <v>23</v>
      </c>
    </row>
    <row r="99" spans="1:7" x14ac:dyDescent="0.2">
      <c r="A99" s="11">
        <v>84</v>
      </c>
      <c r="B99" s="5" t="s">
        <v>693</v>
      </c>
      <c r="C99" s="11" t="s">
        <v>694</v>
      </c>
      <c r="D99" s="5" t="s">
        <v>695</v>
      </c>
      <c r="E99" s="15">
        <v>8000</v>
      </c>
      <c r="F99" s="19" t="s">
        <v>10</v>
      </c>
      <c r="G99" s="28" t="s">
        <v>23</v>
      </c>
    </row>
    <row r="100" spans="1:7" x14ac:dyDescent="0.2">
      <c r="A100" s="11">
        <v>85</v>
      </c>
      <c r="B100" s="5" t="s">
        <v>1109</v>
      </c>
      <c r="C100" s="11">
        <v>44448417567</v>
      </c>
      <c r="D100" s="5" t="s">
        <v>1110</v>
      </c>
      <c r="E100" s="8">
        <v>1017.92</v>
      </c>
      <c r="F100" s="5" t="s">
        <v>10</v>
      </c>
      <c r="G100" s="2" t="s">
        <v>23</v>
      </c>
    </row>
    <row r="101" spans="1:7" x14ac:dyDescent="0.2">
      <c r="A101" s="11">
        <v>86</v>
      </c>
      <c r="B101" s="5" t="s">
        <v>1741</v>
      </c>
      <c r="C101" s="11">
        <v>62750394385</v>
      </c>
      <c r="D101" s="5" t="s">
        <v>1742</v>
      </c>
      <c r="E101" s="8">
        <f>50.63+110.64</f>
        <v>161.27000000000001</v>
      </c>
      <c r="F101" s="5" t="s">
        <v>10</v>
      </c>
      <c r="G101" s="2" t="s">
        <v>662</v>
      </c>
    </row>
    <row r="102" spans="1:7" x14ac:dyDescent="0.2">
      <c r="A102" s="11">
        <v>87</v>
      </c>
      <c r="B102" s="5" t="s">
        <v>1743</v>
      </c>
      <c r="C102" s="12" t="s">
        <v>1744</v>
      </c>
      <c r="D102" s="5" t="s">
        <v>1745</v>
      </c>
      <c r="E102" s="15">
        <v>50</v>
      </c>
      <c r="F102" s="19" t="s">
        <v>10</v>
      </c>
      <c r="G102" s="28" t="s">
        <v>176</v>
      </c>
    </row>
    <row r="103" spans="1:7" x14ac:dyDescent="0.2">
      <c r="A103" s="11">
        <v>88</v>
      </c>
      <c r="B103" s="19" t="s">
        <v>355</v>
      </c>
      <c r="C103" s="36">
        <v>25577810707</v>
      </c>
      <c r="D103" s="19" t="s">
        <v>356</v>
      </c>
      <c r="E103" s="15">
        <f>296.23+1049.65+256.25</f>
        <v>1602.13</v>
      </c>
      <c r="F103" s="19" t="s">
        <v>10</v>
      </c>
      <c r="G103" s="28" t="s">
        <v>23</v>
      </c>
    </row>
    <row r="104" spans="1:7" x14ac:dyDescent="0.2">
      <c r="A104" s="11">
        <v>89</v>
      </c>
      <c r="B104" s="19" t="s">
        <v>1690</v>
      </c>
      <c r="C104" s="43">
        <v>13278612358</v>
      </c>
      <c r="D104" s="19" t="s">
        <v>1691</v>
      </c>
      <c r="E104" s="15">
        <f>431.25+325+162.5+562.5</f>
        <v>1481.25</v>
      </c>
      <c r="F104" s="19" t="s">
        <v>10</v>
      </c>
      <c r="G104" s="28" t="s">
        <v>243</v>
      </c>
    </row>
    <row r="105" spans="1:7" x14ac:dyDescent="0.2">
      <c r="A105" s="11">
        <v>90</v>
      </c>
      <c r="B105" s="5" t="s">
        <v>578</v>
      </c>
      <c r="C105" s="11">
        <v>64691033428</v>
      </c>
      <c r="D105" s="5" t="s">
        <v>601</v>
      </c>
      <c r="E105" s="8">
        <v>278.58999999999997</v>
      </c>
      <c r="F105" s="23" t="s">
        <v>10</v>
      </c>
      <c r="G105" s="2" t="s">
        <v>23</v>
      </c>
    </row>
    <row r="106" spans="1:7" x14ac:dyDescent="0.2">
      <c r="A106" s="11">
        <v>91</v>
      </c>
      <c r="B106" s="5" t="s">
        <v>1546</v>
      </c>
      <c r="C106" s="11">
        <v>24467257339</v>
      </c>
      <c r="D106" s="5" t="s">
        <v>1547</v>
      </c>
      <c r="E106" s="8">
        <v>114</v>
      </c>
      <c r="F106" s="5" t="s">
        <v>10</v>
      </c>
      <c r="G106" s="2" t="s">
        <v>287</v>
      </c>
    </row>
    <row r="107" spans="1:7" x14ac:dyDescent="0.2">
      <c r="A107" s="11">
        <v>92</v>
      </c>
      <c r="B107" s="5" t="s">
        <v>753</v>
      </c>
      <c r="C107" s="11">
        <v>93475459627</v>
      </c>
      <c r="D107" s="5" t="s">
        <v>754</v>
      </c>
      <c r="E107" s="8">
        <v>35.06</v>
      </c>
      <c r="F107" s="5" t="s">
        <v>10</v>
      </c>
      <c r="G107" s="2" t="s">
        <v>23</v>
      </c>
    </row>
    <row r="108" spans="1:7" x14ac:dyDescent="0.2">
      <c r="A108" s="11">
        <v>93</v>
      </c>
      <c r="B108" s="5" t="s">
        <v>1177</v>
      </c>
      <c r="C108" s="11">
        <v>86252349701</v>
      </c>
      <c r="D108" s="5" t="s">
        <v>1178</v>
      </c>
      <c r="E108" s="8">
        <v>1125</v>
      </c>
      <c r="F108" s="5" t="s">
        <v>10</v>
      </c>
      <c r="G108" s="2" t="s">
        <v>23</v>
      </c>
    </row>
    <row r="109" spans="1:7" x14ac:dyDescent="0.2">
      <c r="A109" s="11">
        <v>94</v>
      </c>
      <c r="B109" s="19" t="s">
        <v>844</v>
      </c>
      <c r="C109" s="36">
        <v>99940897955</v>
      </c>
      <c r="D109" s="19" t="s">
        <v>845</v>
      </c>
      <c r="E109" s="15">
        <v>297.5</v>
      </c>
      <c r="F109" s="19" t="s">
        <v>10</v>
      </c>
      <c r="G109" s="28" t="s">
        <v>23</v>
      </c>
    </row>
    <row r="110" spans="1:7" x14ac:dyDescent="0.2">
      <c r="A110" s="11">
        <v>95</v>
      </c>
      <c r="B110" s="5" t="s">
        <v>507</v>
      </c>
      <c r="C110" s="11">
        <v>94505281348</v>
      </c>
      <c r="D110" s="5" t="s">
        <v>509</v>
      </c>
      <c r="E110" s="8">
        <v>157.5</v>
      </c>
      <c r="F110" s="5" t="s">
        <v>10</v>
      </c>
      <c r="G110" s="2" t="s">
        <v>287</v>
      </c>
    </row>
    <row r="111" spans="1:7" x14ac:dyDescent="0.2">
      <c r="A111" s="11">
        <v>96</v>
      </c>
      <c r="B111" s="5" t="s">
        <v>1033</v>
      </c>
      <c r="C111" s="11">
        <v>89811416156</v>
      </c>
      <c r="D111" s="5" t="s">
        <v>1034</v>
      </c>
      <c r="E111" s="15">
        <v>282.5</v>
      </c>
      <c r="F111" s="19" t="s">
        <v>10</v>
      </c>
      <c r="G111" s="28" t="s">
        <v>502</v>
      </c>
    </row>
    <row r="112" spans="1:7" x14ac:dyDescent="0.2">
      <c r="A112" s="11">
        <v>97</v>
      </c>
      <c r="B112" s="5" t="s">
        <v>323</v>
      </c>
      <c r="C112" s="11">
        <v>15907062900</v>
      </c>
      <c r="D112" s="5" t="s">
        <v>325</v>
      </c>
      <c r="E112" s="8">
        <f>1208.97+4114.01</f>
        <v>5322.9800000000005</v>
      </c>
      <c r="F112" s="5" t="s">
        <v>10</v>
      </c>
      <c r="G112" s="2" t="s">
        <v>324</v>
      </c>
    </row>
    <row r="113" spans="1:7" x14ac:dyDescent="0.2">
      <c r="A113" s="11">
        <v>98</v>
      </c>
      <c r="B113" s="19" t="s">
        <v>1706</v>
      </c>
      <c r="C113" s="36">
        <v>53769098448</v>
      </c>
      <c r="D113" s="19" t="s">
        <v>1707</v>
      </c>
      <c r="E113" s="15">
        <v>217.49</v>
      </c>
      <c r="F113" s="19" t="s">
        <v>10</v>
      </c>
      <c r="G113" s="28" t="s">
        <v>23</v>
      </c>
    </row>
    <row r="114" spans="1:7" x14ac:dyDescent="0.2">
      <c r="A114" s="11">
        <v>99</v>
      </c>
      <c r="B114" s="5" t="s">
        <v>759</v>
      </c>
      <c r="C114" s="11">
        <v>71008774672</v>
      </c>
      <c r="D114" s="5" t="s">
        <v>760</v>
      </c>
      <c r="E114" s="8">
        <f>318.5+417.1</f>
        <v>735.6</v>
      </c>
      <c r="F114" s="5" t="s">
        <v>10</v>
      </c>
      <c r="G114" s="2" t="s">
        <v>23</v>
      </c>
    </row>
    <row r="115" spans="1:7" x14ac:dyDescent="0.2">
      <c r="A115" s="11">
        <v>100</v>
      </c>
      <c r="B115" s="5" t="s">
        <v>1715</v>
      </c>
      <c r="C115" s="12" t="s">
        <v>1716</v>
      </c>
      <c r="D115" s="5" t="s">
        <v>1303</v>
      </c>
      <c r="E115" s="15">
        <v>253.52</v>
      </c>
      <c r="F115" s="19" t="s">
        <v>10</v>
      </c>
      <c r="G115" s="28" t="s">
        <v>23</v>
      </c>
    </row>
    <row r="116" spans="1:7" x14ac:dyDescent="0.2">
      <c r="A116" s="11">
        <v>101</v>
      </c>
      <c r="B116" s="5" t="s">
        <v>17</v>
      </c>
      <c r="C116" s="11" t="s">
        <v>17</v>
      </c>
      <c r="D116" s="5" t="s">
        <v>17</v>
      </c>
      <c r="E116" s="8">
        <f>560+560+560</f>
        <v>1680</v>
      </c>
      <c r="F116" s="5" t="s">
        <v>10</v>
      </c>
      <c r="G116" s="2" t="s">
        <v>123</v>
      </c>
    </row>
    <row r="117" spans="1:7" x14ac:dyDescent="0.2">
      <c r="A117" s="11">
        <v>102</v>
      </c>
      <c r="B117" s="5" t="s">
        <v>724</v>
      </c>
      <c r="C117" s="11">
        <v>97304721774</v>
      </c>
      <c r="D117" s="5" t="s">
        <v>725</v>
      </c>
      <c r="E117" s="8">
        <v>65.5</v>
      </c>
      <c r="F117" s="5" t="s">
        <v>10</v>
      </c>
      <c r="G117" s="2" t="s">
        <v>23</v>
      </c>
    </row>
    <row r="118" spans="1:7" x14ac:dyDescent="0.2">
      <c r="A118" s="11">
        <v>103</v>
      </c>
      <c r="B118" s="5" t="s">
        <v>680</v>
      </c>
      <c r="C118" s="11">
        <v>82510351433</v>
      </c>
      <c r="D118" s="5" t="s">
        <v>681</v>
      </c>
      <c r="E118" s="8">
        <f>1147.59+701.03</f>
        <v>1848.62</v>
      </c>
      <c r="F118" s="5" t="s">
        <v>10</v>
      </c>
      <c r="G118" s="2" t="s">
        <v>23</v>
      </c>
    </row>
    <row r="119" spans="1:7" x14ac:dyDescent="0.2">
      <c r="A119" s="11">
        <v>104</v>
      </c>
      <c r="B119" s="5" t="s">
        <v>587</v>
      </c>
      <c r="C119" s="11" t="s">
        <v>612</v>
      </c>
      <c r="D119" s="5" t="s">
        <v>611</v>
      </c>
      <c r="E119" s="8">
        <f>3000+3000</f>
        <v>6000</v>
      </c>
      <c r="F119" s="5" t="s">
        <v>10</v>
      </c>
      <c r="G119" s="2" t="s">
        <v>23</v>
      </c>
    </row>
    <row r="120" spans="1:7" x14ac:dyDescent="0.2">
      <c r="A120" s="11">
        <v>105</v>
      </c>
      <c r="B120" s="5" t="s">
        <v>454</v>
      </c>
      <c r="C120" s="11">
        <v>21748984734</v>
      </c>
      <c r="D120" s="5" t="s">
        <v>456</v>
      </c>
      <c r="E120" s="8">
        <v>410.11</v>
      </c>
      <c r="F120" s="5" t="s">
        <v>10</v>
      </c>
      <c r="G120" s="2" t="s">
        <v>455</v>
      </c>
    </row>
    <row r="121" spans="1:7" x14ac:dyDescent="0.2">
      <c r="A121" s="11">
        <v>106</v>
      </c>
      <c r="B121" s="5" t="s">
        <v>1720</v>
      </c>
      <c r="C121" s="11">
        <v>37660132091</v>
      </c>
      <c r="D121" s="5" t="s">
        <v>1721</v>
      </c>
      <c r="E121" s="8">
        <v>362.5</v>
      </c>
      <c r="F121" s="5" t="s">
        <v>10</v>
      </c>
      <c r="G121" s="2" t="s">
        <v>23</v>
      </c>
    </row>
    <row r="122" spans="1:7" x14ac:dyDescent="0.2">
      <c r="A122" s="11">
        <v>107</v>
      </c>
      <c r="B122" s="5" t="s">
        <v>401</v>
      </c>
      <c r="C122" s="11">
        <v>55614719992</v>
      </c>
      <c r="D122" s="5" t="s">
        <v>402</v>
      </c>
      <c r="E122" s="8">
        <f>129.79+70.38</f>
        <v>200.17</v>
      </c>
      <c r="F122" s="5" t="s">
        <v>10</v>
      </c>
      <c r="G122" s="2" t="s">
        <v>23</v>
      </c>
    </row>
    <row r="123" spans="1:7" x14ac:dyDescent="0.2">
      <c r="A123" s="11">
        <v>108</v>
      </c>
      <c r="B123" s="5" t="s">
        <v>1192</v>
      </c>
      <c r="C123" s="11">
        <v>14273924910</v>
      </c>
      <c r="D123" s="5" t="s">
        <v>228</v>
      </c>
      <c r="E123" s="8">
        <v>483.75</v>
      </c>
      <c r="F123" s="5" t="s">
        <v>10</v>
      </c>
      <c r="G123" s="2" t="s">
        <v>176</v>
      </c>
    </row>
    <row r="124" spans="1:7" x14ac:dyDescent="0.2">
      <c r="A124" s="11">
        <v>109</v>
      </c>
      <c r="B124" s="5" t="s">
        <v>439</v>
      </c>
      <c r="C124" s="11">
        <v>48841983787</v>
      </c>
      <c r="D124" s="5" t="s">
        <v>440</v>
      </c>
      <c r="E124" s="8">
        <f>1575+905+1125</f>
        <v>3605</v>
      </c>
      <c r="F124" s="5" t="s">
        <v>10</v>
      </c>
      <c r="G124" s="2" t="s">
        <v>23</v>
      </c>
    </row>
    <row r="125" spans="1:7" x14ac:dyDescent="0.2">
      <c r="A125" s="11">
        <v>110</v>
      </c>
      <c r="B125" s="5" t="s">
        <v>586</v>
      </c>
      <c r="C125" s="11">
        <v>100299833</v>
      </c>
      <c r="D125" s="5" t="s">
        <v>610</v>
      </c>
      <c r="E125" s="8">
        <v>7000</v>
      </c>
      <c r="F125" s="5" t="s">
        <v>10</v>
      </c>
      <c r="G125" s="2" t="s">
        <v>23</v>
      </c>
    </row>
    <row r="126" spans="1:7" x14ac:dyDescent="0.2">
      <c r="A126" s="11">
        <v>111</v>
      </c>
      <c r="B126" s="5" t="s">
        <v>382</v>
      </c>
      <c r="C126" s="11">
        <v>76080865307</v>
      </c>
      <c r="D126" s="5" t="s">
        <v>383</v>
      </c>
      <c r="E126" s="8">
        <v>41.36</v>
      </c>
      <c r="F126" s="5" t="s">
        <v>10</v>
      </c>
      <c r="G126" s="2" t="s">
        <v>287</v>
      </c>
    </row>
    <row r="127" spans="1:7" x14ac:dyDescent="0.2">
      <c r="A127" s="11">
        <v>112</v>
      </c>
      <c r="B127" s="5" t="s">
        <v>332</v>
      </c>
      <c r="C127" s="12" t="s">
        <v>334</v>
      </c>
      <c r="D127" s="5" t="s">
        <v>333</v>
      </c>
      <c r="E127" s="8">
        <f>1.54+128.15+60+71.68</f>
        <v>261.37</v>
      </c>
      <c r="F127" s="5" t="s">
        <v>10</v>
      </c>
      <c r="G127" s="2" t="s">
        <v>330</v>
      </c>
    </row>
    <row r="128" spans="1:7" x14ac:dyDescent="0.2">
      <c r="A128" s="11">
        <v>113</v>
      </c>
      <c r="B128" s="5" t="s">
        <v>555</v>
      </c>
      <c r="C128" s="11">
        <v>56733014701</v>
      </c>
      <c r="D128" s="5" t="s">
        <v>556</v>
      </c>
      <c r="E128" s="8">
        <v>2435</v>
      </c>
      <c r="F128" s="5" t="s">
        <v>10</v>
      </c>
      <c r="G128" s="2" t="s">
        <v>23</v>
      </c>
    </row>
    <row r="129" spans="1:7" x14ac:dyDescent="0.2">
      <c r="A129" s="11">
        <v>114</v>
      </c>
      <c r="B129" s="5" t="s">
        <v>1746</v>
      </c>
      <c r="C129" s="11">
        <v>42525184727</v>
      </c>
      <c r="D129" s="5" t="s">
        <v>241</v>
      </c>
      <c r="E129" s="8">
        <v>305.39999999999998</v>
      </c>
      <c r="F129" s="5" t="s">
        <v>10</v>
      </c>
      <c r="G129" s="2" t="s">
        <v>173</v>
      </c>
    </row>
    <row r="130" spans="1:7" x14ac:dyDescent="0.2">
      <c r="A130" s="11">
        <v>115</v>
      </c>
      <c r="B130" s="19" t="s">
        <v>1316</v>
      </c>
      <c r="C130" s="36">
        <v>86648038250</v>
      </c>
      <c r="D130" s="19" t="s">
        <v>961</v>
      </c>
      <c r="E130" s="15">
        <v>81.25</v>
      </c>
      <c r="F130" s="19" t="s">
        <v>10</v>
      </c>
      <c r="G130" s="28" t="s">
        <v>118</v>
      </c>
    </row>
    <row r="131" spans="1:7" x14ac:dyDescent="0.2">
      <c r="A131" s="11">
        <v>116</v>
      </c>
      <c r="B131" s="33" t="s">
        <v>412</v>
      </c>
      <c r="C131" s="37">
        <v>85611744662</v>
      </c>
      <c r="D131" s="33" t="s">
        <v>413</v>
      </c>
      <c r="E131" s="17">
        <f>504.21+205.5</f>
        <v>709.71</v>
      </c>
      <c r="F131" s="33" t="s">
        <v>10</v>
      </c>
      <c r="G131" s="34" t="s">
        <v>23</v>
      </c>
    </row>
    <row r="132" spans="1:7" x14ac:dyDescent="0.2">
      <c r="A132" s="11">
        <v>117</v>
      </c>
      <c r="B132" s="5" t="s">
        <v>162</v>
      </c>
      <c r="C132" s="11">
        <v>58353015102</v>
      </c>
      <c r="D132" s="5" t="s">
        <v>219</v>
      </c>
      <c r="E132" s="8">
        <f>114.9</f>
        <v>114.9</v>
      </c>
      <c r="F132" s="5" t="s">
        <v>10</v>
      </c>
      <c r="G132" s="2" t="s">
        <v>130</v>
      </c>
    </row>
    <row r="133" spans="1:7" ht="12.75" thickBot="1" x14ac:dyDescent="0.25">
      <c r="A133" s="11">
        <v>118</v>
      </c>
      <c r="B133" s="19" t="s">
        <v>494</v>
      </c>
      <c r="C133" s="36">
        <v>54482179263</v>
      </c>
      <c r="D133" s="19" t="s">
        <v>495</v>
      </c>
      <c r="E133" s="15">
        <f>55.73+148.91</f>
        <v>204.64</v>
      </c>
      <c r="F133" s="19" t="s">
        <v>10</v>
      </c>
      <c r="G133" s="28" t="s">
        <v>23</v>
      </c>
    </row>
    <row r="134" spans="1:7" x14ac:dyDescent="0.2">
      <c r="A134" s="84">
        <v>119</v>
      </c>
      <c r="B134" s="82" t="s">
        <v>974</v>
      </c>
      <c r="C134" s="84">
        <v>89984971143</v>
      </c>
      <c r="D134" s="82" t="s">
        <v>975</v>
      </c>
      <c r="E134" s="16">
        <v>23.69</v>
      </c>
      <c r="F134" s="82" t="s">
        <v>10</v>
      </c>
      <c r="G134" s="31" t="s">
        <v>23</v>
      </c>
    </row>
    <row r="135" spans="1:7" ht="12.75" thickBot="1" x14ac:dyDescent="0.25">
      <c r="A135" s="85"/>
      <c r="B135" s="83"/>
      <c r="C135" s="85"/>
      <c r="D135" s="83"/>
      <c r="E135" s="18">
        <f>1170.19+1210.38+3000</f>
        <v>5380.57</v>
      </c>
      <c r="F135" s="83"/>
      <c r="G135" s="32" t="s">
        <v>147</v>
      </c>
    </row>
    <row r="136" spans="1:7" x14ac:dyDescent="0.2">
      <c r="A136" s="37">
        <v>120</v>
      </c>
      <c r="B136" s="33" t="s">
        <v>541</v>
      </c>
      <c r="C136" s="37">
        <v>32371574171</v>
      </c>
      <c r="D136" s="33" t="s">
        <v>542</v>
      </c>
      <c r="E136" s="17">
        <f>750+1000</f>
        <v>1750</v>
      </c>
      <c r="F136" s="33" t="s">
        <v>10</v>
      </c>
      <c r="G136" s="34" t="s">
        <v>243</v>
      </c>
    </row>
    <row r="137" spans="1:7" x14ac:dyDescent="0.2">
      <c r="A137" s="11">
        <v>121</v>
      </c>
      <c r="B137" s="5" t="s">
        <v>87</v>
      </c>
      <c r="C137" s="12" t="s">
        <v>92</v>
      </c>
      <c r="D137" s="5" t="s">
        <v>91</v>
      </c>
      <c r="E137" s="8">
        <f>647.08+647.08</f>
        <v>1294.1600000000001</v>
      </c>
      <c r="F137" s="5" t="s">
        <v>10</v>
      </c>
      <c r="G137" s="2" t="s">
        <v>86</v>
      </c>
    </row>
    <row r="138" spans="1:7" x14ac:dyDescent="0.2">
      <c r="A138" s="11">
        <v>122</v>
      </c>
      <c r="B138" s="19" t="s">
        <v>1403</v>
      </c>
      <c r="C138" s="36">
        <v>39881074944</v>
      </c>
      <c r="D138" s="19" t="s">
        <v>1404</v>
      </c>
      <c r="E138" s="8">
        <v>132.38</v>
      </c>
      <c r="F138" s="5" t="s">
        <v>10</v>
      </c>
      <c r="G138" s="2" t="s">
        <v>23</v>
      </c>
    </row>
    <row r="139" spans="1:7" x14ac:dyDescent="0.2">
      <c r="A139" s="11">
        <v>123</v>
      </c>
      <c r="B139" s="5" t="s">
        <v>441</v>
      </c>
      <c r="C139" s="11">
        <v>12443607100</v>
      </c>
      <c r="D139" s="5" t="s">
        <v>442</v>
      </c>
      <c r="E139" s="8">
        <v>3944.75</v>
      </c>
      <c r="F139" s="5" t="s">
        <v>10</v>
      </c>
      <c r="G139" s="2" t="s">
        <v>23</v>
      </c>
    </row>
    <row r="140" spans="1:7" x14ac:dyDescent="0.2">
      <c r="A140" s="11">
        <v>124</v>
      </c>
      <c r="B140" s="5" t="s">
        <v>501</v>
      </c>
      <c r="C140" s="11">
        <v>79506290597</v>
      </c>
      <c r="D140" s="5" t="s">
        <v>503</v>
      </c>
      <c r="E140" s="8">
        <v>80.14</v>
      </c>
      <c r="F140" s="5" t="s">
        <v>10</v>
      </c>
      <c r="G140" s="2" t="s">
        <v>502</v>
      </c>
    </row>
    <row r="141" spans="1:7" x14ac:dyDescent="0.2">
      <c r="A141" s="11">
        <v>125</v>
      </c>
      <c r="B141" s="5" t="s">
        <v>1339</v>
      </c>
      <c r="C141" s="11">
        <v>74867487620</v>
      </c>
      <c r="D141" s="5" t="s">
        <v>314</v>
      </c>
      <c r="E141" s="8">
        <f>1031.25+1554.5+309.3</f>
        <v>2895.05</v>
      </c>
      <c r="F141" s="5" t="s">
        <v>10</v>
      </c>
      <c r="G141" s="2" t="s">
        <v>23</v>
      </c>
    </row>
    <row r="142" spans="1:7" x14ac:dyDescent="0.2">
      <c r="A142" s="11">
        <v>126</v>
      </c>
      <c r="B142" s="5" t="s">
        <v>17</v>
      </c>
      <c r="C142" s="11" t="s">
        <v>17</v>
      </c>
      <c r="D142" s="5" t="s">
        <v>17</v>
      </c>
      <c r="E142" s="8">
        <f>560+560+560</f>
        <v>1680</v>
      </c>
      <c r="F142" s="5" t="s">
        <v>10</v>
      </c>
      <c r="G142" s="2" t="s">
        <v>18</v>
      </c>
    </row>
    <row r="143" spans="1:7" x14ac:dyDescent="0.2">
      <c r="A143" s="11">
        <v>127</v>
      </c>
      <c r="B143" s="5" t="s">
        <v>17</v>
      </c>
      <c r="C143" s="11" t="s">
        <v>17</v>
      </c>
      <c r="D143" s="5" t="s">
        <v>17</v>
      </c>
      <c r="E143" s="8">
        <v>36120</v>
      </c>
      <c r="F143" s="5" t="s">
        <v>10</v>
      </c>
      <c r="G143" s="2" t="s">
        <v>1747</v>
      </c>
    </row>
    <row r="144" spans="1:7" x14ac:dyDescent="0.2">
      <c r="A144" s="11">
        <v>128</v>
      </c>
      <c r="B144" s="5" t="s">
        <v>267</v>
      </c>
      <c r="C144" s="12" t="s">
        <v>269</v>
      </c>
      <c r="D144" s="5" t="s">
        <v>268</v>
      </c>
      <c r="E144" s="8">
        <f>1740+360</f>
        <v>2100</v>
      </c>
      <c r="F144" s="5" t="s">
        <v>10</v>
      </c>
      <c r="G144" s="2" t="s">
        <v>23</v>
      </c>
    </row>
    <row r="145" spans="1:7" x14ac:dyDescent="0.2">
      <c r="A145" s="11">
        <v>129</v>
      </c>
      <c r="B145" s="5" t="s">
        <v>461</v>
      </c>
      <c r="C145" s="11">
        <v>83157399243</v>
      </c>
      <c r="D145" s="5" t="s">
        <v>462</v>
      </c>
      <c r="E145" s="8">
        <f>150+225</f>
        <v>375</v>
      </c>
      <c r="F145" s="5" t="s">
        <v>10</v>
      </c>
      <c r="G145" s="2" t="s">
        <v>23</v>
      </c>
    </row>
    <row r="146" spans="1:7" x14ac:dyDescent="0.2">
      <c r="A146" s="11">
        <v>130</v>
      </c>
      <c r="B146" s="5" t="s">
        <v>480</v>
      </c>
      <c r="C146" s="11">
        <v>69857578031</v>
      </c>
      <c r="D146" s="5" t="s">
        <v>482</v>
      </c>
      <c r="E146" s="8">
        <f>608.15</f>
        <v>608.15</v>
      </c>
      <c r="F146" s="5" t="s">
        <v>10</v>
      </c>
      <c r="G146" s="2" t="s">
        <v>481</v>
      </c>
    </row>
    <row r="147" spans="1:7" x14ac:dyDescent="0.2">
      <c r="A147" s="11">
        <v>131</v>
      </c>
      <c r="B147" s="5" t="s">
        <v>56</v>
      </c>
      <c r="C147" s="11">
        <v>23308926345</v>
      </c>
      <c r="D147" s="5" t="s">
        <v>74</v>
      </c>
      <c r="E147" s="15">
        <f>1244</f>
        <v>1244</v>
      </c>
      <c r="F147" s="5" t="s">
        <v>10</v>
      </c>
      <c r="G147" s="2" t="s">
        <v>55</v>
      </c>
    </row>
    <row r="148" spans="1:7" x14ac:dyDescent="0.2">
      <c r="A148" s="11">
        <v>132</v>
      </c>
      <c r="B148" s="5" t="s">
        <v>682</v>
      </c>
      <c r="C148" s="11" t="s">
        <v>683</v>
      </c>
      <c r="D148" s="5" t="s">
        <v>684</v>
      </c>
      <c r="E148" s="8">
        <v>1017.5</v>
      </c>
      <c r="F148" s="5" t="s">
        <v>10</v>
      </c>
      <c r="G148" s="2" t="s">
        <v>23</v>
      </c>
    </row>
    <row r="149" spans="1:7" x14ac:dyDescent="0.2">
      <c r="A149" s="11">
        <v>133</v>
      </c>
      <c r="B149" s="5" t="s">
        <v>1523</v>
      </c>
      <c r="C149" s="11">
        <v>77022388360</v>
      </c>
      <c r="D149" s="5" t="s">
        <v>1236</v>
      </c>
      <c r="E149" s="8">
        <v>35</v>
      </c>
      <c r="F149" s="5" t="s">
        <v>10</v>
      </c>
      <c r="G149" s="2" t="s">
        <v>23</v>
      </c>
    </row>
    <row r="150" spans="1:7" x14ac:dyDescent="0.2">
      <c r="A150" s="11">
        <v>134</v>
      </c>
      <c r="B150" s="5" t="s">
        <v>65</v>
      </c>
      <c r="C150" s="11">
        <v>93039509752</v>
      </c>
      <c r="D150" s="5" t="s">
        <v>75</v>
      </c>
      <c r="E150" s="20">
        <f>2019.04+2490.23</f>
        <v>4509.2700000000004</v>
      </c>
      <c r="F150" s="19" t="s">
        <v>10</v>
      </c>
      <c r="G150" s="2" t="s">
        <v>66</v>
      </c>
    </row>
    <row r="151" spans="1:7" x14ac:dyDescent="0.2">
      <c r="A151" s="11">
        <v>135</v>
      </c>
      <c r="B151" s="5" t="s">
        <v>376</v>
      </c>
      <c r="C151" s="11">
        <v>26901839603</v>
      </c>
      <c r="D151" s="5" t="s">
        <v>377</v>
      </c>
      <c r="E151" s="8">
        <f>913+11.75+338.03+160.28</f>
        <v>1423.06</v>
      </c>
      <c r="F151" s="5" t="s">
        <v>10</v>
      </c>
      <c r="G151" s="2" t="s">
        <v>23</v>
      </c>
    </row>
    <row r="152" spans="1:7" x14ac:dyDescent="0.2">
      <c r="A152" s="11">
        <v>136</v>
      </c>
      <c r="B152" s="5" t="s">
        <v>411</v>
      </c>
      <c r="C152" s="11">
        <v>110752628</v>
      </c>
      <c r="D152" s="5" t="s">
        <v>414</v>
      </c>
      <c r="E152" s="8">
        <v>4220.47</v>
      </c>
      <c r="F152" s="5" t="s">
        <v>10</v>
      </c>
      <c r="G152" s="2" t="s">
        <v>23</v>
      </c>
    </row>
    <row r="153" spans="1:7" x14ac:dyDescent="0.2">
      <c r="A153" s="11">
        <v>137</v>
      </c>
      <c r="B153" s="5" t="s">
        <v>174</v>
      </c>
      <c r="C153" s="11">
        <v>79517545745</v>
      </c>
      <c r="D153" s="5" t="s">
        <v>227</v>
      </c>
      <c r="E153" s="8">
        <f>55.16</f>
        <v>55.16</v>
      </c>
      <c r="F153" s="5" t="s">
        <v>10</v>
      </c>
      <c r="G153" s="2" t="s">
        <v>176</v>
      </c>
    </row>
    <row r="154" spans="1:7" x14ac:dyDescent="0.2">
      <c r="A154" s="11">
        <v>138</v>
      </c>
      <c r="B154" s="5" t="s">
        <v>302</v>
      </c>
      <c r="C154" s="11" t="s">
        <v>303</v>
      </c>
      <c r="D154" s="5" t="s">
        <v>304</v>
      </c>
      <c r="E154" s="8">
        <f>448.26+5138.27</f>
        <v>5586.5300000000007</v>
      </c>
      <c r="F154" s="5" t="s">
        <v>10</v>
      </c>
      <c r="G154" s="2" t="s">
        <v>23</v>
      </c>
    </row>
    <row r="155" spans="1:7" x14ac:dyDescent="0.2">
      <c r="A155" s="11">
        <v>139</v>
      </c>
      <c r="B155" s="5" t="s">
        <v>732</v>
      </c>
      <c r="C155" s="11">
        <v>80972836106</v>
      </c>
      <c r="D155" s="5" t="s">
        <v>733</v>
      </c>
      <c r="E155" s="8">
        <f>109.5+91.5+67.1+101.4</f>
        <v>369.5</v>
      </c>
      <c r="F155" s="5" t="s">
        <v>10</v>
      </c>
      <c r="G155" s="2" t="s">
        <v>173</v>
      </c>
    </row>
    <row r="156" spans="1:7" x14ac:dyDescent="0.2">
      <c r="A156" s="11">
        <v>140</v>
      </c>
      <c r="B156" s="5" t="s">
        <v>1266</v>
      </c>
      <c r="C156" s="11">
        <v>80805858278</v>
      </c>
      <c r="D156" s="5" t="s">
        <v>253</v>
      </c>
      <c r="E156" s="8">
        <v>50.16</v>
      </c>
      <c r="F156" s="5" t="s">
        <v>10</v>
      </c>
      <c r="G156" s="2" t="s">
        <v>64</v>
      </c>
    </row>
    <row r="157" spans="1:7" x14ac:dyDescent="0.2">
      <c r="A157" s="11">
        <v>141</v>
      </c>
      <c r="B157" s="5" t="s">
        <v>1536</v>
      </c>
      <c r="C157" s="11">
        <v>58421021869</v>
      </c>
      <c r="D157" s="5" t="s">
        <v>1537</v>
      </c>
      <c r="E157" s="8">
        <f>2299.1+4000+26020.78</f>
        <v>32319.879999999997</v>
      </c>
      <c r="F157" s="5" t="s">
        <v>10</v>
      </c>
      <c r="G157" s="2" t="s">
        <v>23</v>
      </c>
    </row>
    <row r="158" spans="1:7" x14ac:dyDescent="0.2">
      <c r="A158" s="11">
        <v>142</v>
      </c>
      <c r="B158" s="5" t="s">
        <v>337</v>
      </c>
      <c r="C158" s="11">
        <v>97994010225</v>
      </c>
      <c r="D158" s="5" t="s">
        <v>338</v>
      </c>
      <c r="E158" s="8">
        <f>288.64+1666+3218.85</f>
        <v>5173.49</v>
      </c>
      <c r="F158" s="5" t="s">
        <v>10</v>
      </c>
      <c r="G158" s="2" t="s">
        <v>23</v>
      </c>
    </row>
    <row r="159" spans="1:7" x14ac:dyDescent="0.2">
      <c r="A159" s="11">
        <v>143</v>
      </c>
      <c r="B159" s="5" t="s">
        <v>579</v>
      </c>
      <c r="C159" s="11">
        <v>54527841697</v>
      </c>
      <c r="D159" s="5" t="s">
        <v>602</v>
      </c>
      <c r="E159" s="8">
        <f>1005.41</f>
        <v>1005.41</v>
      </c>
      <c r="F159" s="5" t="s">
        <v>10</v>
      </c>
      <c r="G159" s="2" t="s">
        <v>23</v>
      </c>
    </row>
    <row r="160" spans="1:7" x14ac:dyDescent="0.2">
      <c r="A160" s="11">
        <v>144</v>
      </c>
      <c r="B160" s="5" t="s">
        <v>809</v>
      </c>
      <c r="C160" s="11" t="s">
        <v>811</v>
      </c>
      <c r="D160" s="5" t="s">
        <v>810</v>
      </c>
      <c r="E160" s="8">
        <v>276</v>
      </c>
      <c r="F160" s="5" t="s">
        <v>10</v>
      </c>
      <c r="G160" s="2" t="s">
        <v>23</v>
      </c>
    </row>
    <row r="161" spans="1:7" x14ac:dyDescent="0.2">
      <c r="A161" s="11">
        <v>145</v>
      </c>
      <c r="B161" s="5" t="s">
        <v>1553</v>
      </c>
      <c r="C161" s="11">
        <v>89102192044</v>
      </c>
      <c r="D161" s="5" t="s">
        <v>1554</v>
      </c>
      <c r="E161" s="8">
        <f>15+280</f>
        <v>295</v>
      </c>
      <c r="F161" s="5" t="s">
        <v>10</v>
      </c>
      <c r="G161" s="2" t="s">
        <v>481</v>
      </c>
    </row>
    <row r="162" spans="1:7" x14ac:dyDescent="0.2">
      <c r="A162" s="11">
        <v>146</v>
      </c>
      <c r="B162" s="5" t="s">
        <v>437</v>
      </c>
      <c r="C162" s="11">
        <v>76147579166</v>
      </c>
      <c r="D162" s="5" t="s">
        <v>438</v>
      </c>
      <c r="E162" s="8">
        <f>17.5+559.34+70.19</f>
        <v>647.03</v>
      </c>
      <c r="F162" s="5" t="s">
        <v>10</v>
      </c>
      <c r="G162" s="2" t="s">
        <v>23</v>
      </c>
    </row>
    <row r="163" spans="1:7" x14ac:dyDescent="0.2">
      <c r="A163" s="11">
        <v>147</v>
      </c>
      <c r="B163" s="5" t="s">
        <v>517</v>
      </c>
      <c r="C163" s="11">
        <v>79378753915</v>
      </c>
      <c r="D163" s="5" t="s">
        <v>518</v>
      </c>
      <c r="E163" s="8">
        <v>761</v>
      </c>
      <c r="F163" s="5" t="s">
        <v>10</v>
      </c>
      <c r="G163" s="2" t="s">
        <v>23</v>
      </c>
    </row>
    <row r="164" spans="1:7" x14ac:dyDescent="0.2">
      <c r="A164" s="11">
        <v>148</v>
      </c>
      <c r="B164" s="5" t="s">
        <v>428</v>
      </c>
      <c r="C164" s="11">
        <v>53785632625</v>
      </c>
      <c r="D164" s="5" t="s">
        <v>429</v>
      </c>
      <c r="E164" s="8">
        <f>965.03+557.34</f>
        <v>1522.37</v>
      </c>
      <c r="F164" s="5" t="s">
        <v>10</v>
      </c>
      <c r="G164" s="2" t="s">
        <v>23</v>
      </c>
    </row>
    <row r="165" spans="1:7" x14ac:dyDescent="0.2">
      <c r="A165" s="11">
        <v>149</v>
      </c>
      <c r="B165" s="5" t="s">
        <v>471</v>
      </c>
      <c r="C165" s="11">
        <v>54661026138</v>
      </c>
      <c r="D165" s="5" t="s">
        <v>472</v>
      </c>
      <c r="E165" s="8">
        <f>60+1029.88</f>
        <v>1089.8800000000001</v>
      </c>
      <c r="F165" s="5" t="s">
        <v>10</v>
      </c>
      <c r="G165" s="2" t="s">
        <v>23</v>
      </c>
    </row>
    <row r="166" spans="1:7" x14ac:dyDescent="0.2">
      <c r="A166" s="11">
        <v>150</v>
      </c>
      <c r="B166" s="5" t="s">
        <v>550</v>
      </c>
      <c r="C166" s="11">
        <v>22911773746</v>
      </c>
      <c r="D166" s="5" t="s">
        <v>551</v>
      </c>
      <c r="E166" s="8">
        <f>1800+1000+5963.75</f>
        <v>8763.75</v>
      </c>
      <c r="F166" s="5" t="s">
        <v>10</v>
      </c>
      <c r="G166" s="2" t="s">
        <v>23</v>
      </c>
    </row>
    <row r="167" spans="1:7" x14ac:dyDescent="0.2">
      <c r="A167" s="11">
        <v>151</v>
      </c>
      <c r="B167" s="5" t="s">
        <v>590</v>
      </c>
      <c r="C167" s="11">
        <v>38867318377</v>
      </c>
      <c r="D167" s="5" t="s">
        <v>591</v>
      </c>
      <c r="E167" s="8">
        <v>273.75</v>
      </c>
      <c r="F167" s="5" t="s">
        <v>10</v>
      </c>
      <c r="G167" s="2" t="s">
        <v>23</v>
      </c>
    </row>
    <row r="168" spans="1:7" x14ac:dyDescent="0.2">
      <c r="A168" s="11">
        <v>152</v>
      </c>
      <c r="B168" s="5" t="s">
        <v>276</v>
      </c>
      <c r="C168" s="11">
        <v>64546066176</v>
      </c>
      <c r="D168" s="5" t="s">
        <v>277</v>
      </c>
      <c r="E168" s="8">
        <f>4.5</f>
        <v>4.5</v>
      </c>
      <c r="F168" s="5" t="s">
        <v>10</v>
      </c>
      <c r="G168" s="2" t="s">
        <v>23</v>
      </c>
    </row>
    <row r="169" spans="1:7" x14ac:dyDescent="0.2">
      <c r="A169" s="11">
        <v>153</v>
      </c>
      <c r="B169" s="5" t="s">
        <v>691</v>
      </c>
      <c r="C169" s="11">
        <v>31826907316</v>
      </c>
      <c r="D169" s="5" t="s">
        <v>692</v>
      </c>
      <c r="E169" s="8">
        <f>1690.85+10000</f>
        <v>11690.85</v>
      </c>
      <c r="F169" s="5" t="s">
        <v>10</v>
      </c>
      <c r="G169" s="2" t="s">
        <v>23</v>
      </c>
    </row>
    <row r="170" spans="1:7" x14ac:dyDescent="0.2">
      <c r="A170" s="11">
        <v>154</v>
      </c>
      <c r="B170" s="5" t="s">
        <v>155</v>
      </c>
      <c r="C170" s="11">
        <v>55326209639</v>
      </c>
      <c r="D170" s="5" t="s">
        <v>214</v>
      </c>
      <c r="E170" s="8">
        <f>183.51+108.38</f>
        <v>291.89</v>
      </c>
      <c r="F170" s="5" t="s">
        <v>10</v>
      </c>
      <c r="G170" s="2" t="s">
        <v>23</v>
      </c>
    </row>
    <row r="171" spans="1:7" x14ac:dyDescent="0.2">
      <c r="A171" s="11">
        <v>155</v>
      </c>
      <c r="B171" s="5" t="s">
        <v>860</v>
      </c>
      <c r="C171" s="11">
        <v>44307963093</v>
      </c>
      <c r="D171" s="5" t="s">
        <v>861</v>
      </c>
      <c r="E171" s="8">
        <v>2175</v>
      </c>
      <c r="F171" s="5" t="s">
        <v>10</v>
      </c>
      <c r="G171" s="2" t="s">
        <v>23</v>
      </c>
    </row>
    <row r="172" spans="1:7" x14ac:dyDescent="0.2">
      <c r="A172" s="11">
        <v>156</v>
      </c>
      <c r="B172" s="5" t="s">
        <v>249</v>
      </c>
      <c r="C172" s="11">
        <v>26004523816</v>
      </c>
      <c r="D172" s="5" t="s">
        <v>251</v>
      </c>
      <c r="E172" s="8">
        <v>213.65</v>
      </c>
      <c r="F172" s="5" t="s">
        <v>10</v>
      </c>
      <c r="G172" s="2" t="s">
        <v>23</v>
      </c>
    </row>
    <row r="173" spans="1:7" x14ac:dyDescent="0.2">
      <c r="A173" s="11">
        <v>157</v>
      </c>
      <c r="B173" s="5" t="s">
        <v>183</v>
      </c>
      <c r="C173" s="11">
        <v>95449332614</v>
      </c>
      <c r="D173" s="5" t="s">
        <v>235</v>
      </c>
      <c r="E173" s="8">
        <v>37.5</v>
      </c>
      <c r="F173" s="5" t="s">
        <v>10</v>
      </c>
      <c r="G173" s="2" t="s">
        <v>23</v>
      </c>
    </row>
    <row r="174" spans="1:7" x14ac:dyDescent="0.2">
      <c r="A174" s="11">
        <v>158</v>
      </c>
      <c r="B174" s="5" t="s">
        <v>135</v>
      </c>
      <c r="C174" s="11">
        <v>38812451417</v>
      </c>
      <c r="D174" s="5" t="s">
        <v>198</v>
      </c>
      <c r="E174" s="8">
        <f>499.77+222.84+144.27</f>
        <v>866.88</v>
      </c>
      <c r="F174" s="5" t="s">
        <v>10</v>
      </c>
      <c r="G174" s="2" t="s">
        <v>112</v>
      </c>
    </row>
    <row r="175" spans="1:7" x14ac:dyDescent="0.2">
      <c r="A175" s="11">
        <v>159</v>
      </c>
      <c r="B175" s="5" t="s">
        <v>137</v>
      </c>
      <c r="C175" s="12" t="s">
        <v>200</v>
      </c>
      <c r="D175" s="5" t="s">
        <v>201</v>
      </c>
      <c r="E175" s="8">
        <v>365.6</v>
      </c>
      <c r="F175" s="5" t="s">
        <v>10</v>
      </c>
      <c r="G175" s="2" t="s">
        <v>112</v>
      </c>
    </row>
    <row r="176" spans="1:7" x14ac:dyDescent="0.2">
      <c r="A176" s="11">
        <v>160</v>
      </c>
      <c r="B176" s="5" t="s">
        <v>136</v>
      </c>
      <c r="C176" s="11">
        <v>70467048139</v>
      </c>
      <c r="D176" s="5" t="s">
        <v>199</v>
      </c>
      <c r="E176" s="8">
        <v>28.97</v>
      </c>
      <c r="F176" s="5" t="s">
        <v>10</v>
      </c>
      <c r="G176" s="2" t="s">
        <v>112</v>
      </c>
    </row>
    <row r="177" spans="1:7" x14ac:dyDescent="0.2">
      <c r="A177" s="11">
        <v>161</v>
      </c>
      <c r="B177" s="5" t="s">
        <v>290</v>
      </c>
      <c r="C177" s="11">
        <v>40779258479</v>
      </c>
      <c r="D177" s="5" t="s">
        <v>291</v>
      </c>
      <c r="E177" s="8">
        <v>2789.3</v>
      </c>
      <c r="F177" s="5" t="s">
        <v>10</v>
      </c>
      <c r="G177" s="2" t="s">
        <v>23</v>
      </c>
    </row>
    <row r="178" spans="1:7" x14ac:dyDescent="0.2">
      <c r="A178" s="11">
        <v>162</v>
      </c>
      <c r="B178" s="5" t="s">
        <v>139</v>
      </c>
      <c r="C178" s="11">
        <v>26211106548</v>
      </c>
      <c r="D178" s="5" t="s">
        <v>141</v>
      </c>
      <c r="E178" s="8">
        <v>131.77000000000001</v>
      </c>
      <c r="F178" s="5" t="s">
        <v>10</v>
      </c>
      <c r="G178" s="2" t="s">
        <v>112</v>
      </c>
    </row>
    <row r="179" spans="1:7" x14ac:dyDescent="0.2">
      <c r="A179" s="11">
        <v>163</v>
      </c>
      <c r="B179" s="5" t="s">
        <v>1031</v>
      </c>
      <c r="C179" s="11">
        <v>32034925094</v>
      </c>
      <c r="D179" s="5" t="s">
        <v>1032</v>
      </c>
      <c r="E179" s="8">
        <v>916.88</v>
      </c>
      <c r="F179" s="5" t="s">
        <v>10</v>
      </c>
      <c r="G179" s="2" t="s">
        <v>23</v>
      </c>
    </row>
    <row r="180" spans="1:7" x14ac:dyDescent="0.2">
      <c r="A180" s="11">
        <v>164</v>
      </c>
      <c r="B180" s="5" t="s">
        <v>83</v>
      </c>
      <c r="C180" s="11">
        <v>68419124305</v>
      </c>
      <c r="D180" s="5" t="s">
        <v>84</v>
      </c>
      <c r="E180" s="8">
        <v>106.2</v>
      </c>
      <c r="F180" s="5" t="s">
        <v>10</v>
      </c>
      <c r="G180" s="2" t="s">
        <v>82</v>
      </c>
    </row>
    <row r="181" spans="1:7" x14ac:dyDescent="0.2">
      <c r="A181" s="11">
        <v>165</v>
      </c>
      <c r="B181" s="5" t="s">
        <v>270</v>
      </c>
      <c r="C181" s="11">
        <v>31174430130</v>
      </c>
      <c r="D181" s="5" t="s">
        <v>271</v>
      </c>
      <c r="E181" s="8">
        <v>268.27</v>
      </c>
      <c r="F181" s="5" t="s">
        <v>10</v>
      </c>
      <c r="G181" s="2" t="s">
        <v>112</v>
      </c>
    </row>
    <row r="182" spans="1:7" x14ac:dyDescent="0.2">
      <c r="A182" s="11">
        <v>166</v>
      </c>
      <c r="B182" s="5" t="s">
        <v>855</v>
      </c>
      <c r="C182" s="11">
        <v>41317489366</v>
      </c>
      <c r="D182" s="5" t="s">
        <v>856</v>
      </c>
      <c r="E182" s="8">
        <v>1.4</v>
      </c>
      <c r="F182" s="5" t="s">
        <v>10</v>
      </c>
      <c r="G182" s="2" t="s">
        <v>263</v>
      </c>
    </row>
    <row r="183" spans="1:7" x14ac:dyDescent="0.2">
      <c r="A183" s="11">
        <v>167</v>
      </c>
      <c r="B183" s="5" t="s">
        <v>912</v>
      </c>
      <c r="C183" s="11">
        <v>52909770220</v>
      </c>
      <c r="D183" s="5" t="s">
        <v>89</v>
      </c>
      <c r="E183" s="8">
        <v>2026.25</v>
      </c>
      <c r="F183" s="5" t="s">
        <v>10</v>
      </c>
      <c r="G183" s="2" t="s">
        <v>86</v>
      </c>
    </row>
    <row r="184" spans="1:7" x14ac:dyDescent="0.2">
      <c r="A184" s="11">
        <v>168</v>
      </c>
      <c r="B184" s="5" t="s">
        <v>17</v>
      </c>
      <c r="C184" s="11" t="s">
        <v>17</v>
      </c>
      <c r="D184" s="5" t="s">
        <v>17</v>
      </c>
      <c r="E184" s="8">
        <v>398.17</v>
      </c>
      <c r="F184" s="5" t="s">
        <v>10</v>
      </c>
      <c r="G184" s="2" t="s">
        <v>1134</v>
      </c>
    </row>
    <row r="185" spans="1:7" x14ac:dyDescent="0.2">
      <c r="A185" s="11">
        <v>169</v>
      </c>
      <c r="B185" s="5" t="s">
        <v>443</v>
      </c>
      <c r="C185" s="11" t="s">
        <v>17</v>
      </c>
      <c r="D185" s="5" t="s">
        <v>17</v>
      </c>
      <c r="E185" s="8">
        <v>200</v>
      </c>
      <c r="F185" s="5" t="s">
        <v>10</v>
      </c>
      <c r="G185" s="2" t="s">
        <v>179</v>
      </c>
    </row>
    <row r="186" spans="1:7" x14ac:dyDescent="0.2">
      <c r="A186" s="11">
        <v>170</v>
      </c>
      <c r="B186" s="5" t="s">
        <v>369</v>
      </c>
      <c r="C186" s="11" t="s">
        <v>371</v>
      </c>
      <c r="D186" s="5" t="s">
        <v>370</v>
      </c>
      <c r="E186" s="8">
        <v>425.5</v>
      </c>
      <c r="F186" s="5" t="s">
        <v>10</v>
      </c>
      <c r="G186" s="2" t="s">
        <v>23</v>
      </c>
    </row>
    <row r="187" spans="1:7" x14ac:dyDescent="0.2">
      <c r="A187" s="11">
        <v>171</v>
      </c>
      <c r="B187" s="5" t="s">
        <v>486</v>
      </c>
      <c r="C187" s="11" t="s">
        <v>487</v>
      </c>
      <c r="D187" s="5" t="s">
        <v>488</v>
      </c>
      <c r="E187" s="8">
        <v>757.5</v>
      </c>
      <c r="F187" s="5" t="s">
        <v>10</v>
      </c>
      <c r="G187" s="2" t="s">
        <v>23</v>
      </c>
    </row>
    <row r="188" spans="1:7" x14ac:dyDescent="0.2">
      <c r="A188" s="11">
        <v>172</v>
      </c>
      <c r="B188" s="5" t="s">
        <v>728</v>
      </c>
      <c r="C188" s="12">
        <v>83910501982</v>
      </c>
      <c r="D188" s="5" t="s">
        <v>729</v>
      </c>
      <c r="E188" s="8">
        <f>1088.8+43.71</f>
        <v>1132.51</v>
      </c>
      <c r="F188" s="5" t="s">
        <v>10</v>
      </c>
      <c r="G188" s="2" t="s">
        <v>23</v>
      </c>
    </row>
    <row r="189" spans="1:7" x14ac:dyDescent="0.2">
      <c r="A189" s="11">
        <v>173</v>
      </c>
      <c r="B189" s="5" t="s">
        <v>1748</v>
      </c>
      <c r="C189" s="12">
        <v>91495869705</v>
      </c>
      <c r="D189" s="5" t="s">
        <v>1749</v>
      </c>
      <c r="E189" s="8">
        <v>300</v>
      </c>
      <c r="F189" s="5" t="s">
        <v>10</v>
      </c>
      <c r="G189" s="2" t="s">
        <v>637</v>
      </c>
    </row>
    <row r="190" spans="1:7" x14ac:dyDescent="0.2">
      <c r="A190" s="11">
        <v>174</v>
      </c>
      <c r="B190" s="5" t="s">
        <v>1750</v>
      </c>
      <c r="C190" s="12" t="s">
        <v>883</v>
      </c>
      <c r="D190" s="5" t="s">
        <v>882</v>
      </c>
      <c r="E190" s="8">
        <v>139.30000000000001</v>
      </c>
      <c r="F190" s="5" t="s">
        <v>10</v>
      </c>
      <c r="G190" s="2" t="s">
        <v>23</v>
      </c>
    </row>
    <row r="191" spans="1:7" x14ac:dyDescent="0.2">
      <c r="A191" s="11">
        <v>175</v>
      </c>
      <c r="B191" s="5" t="s">
        <v>1751</v>
      </c>
      <c r="C191" s="12">
        <v>38065977917</v>
      </c>
      <c r="D191" s="5" t="s">
        <v>1752</v>
      </c>
      <c r="E191" s="8">
        <v>47.42</v>
      </c>
      <c r="F191" s="5" t="s">
        <v>10</v>
      </c>
      <c r="G191" s="2" t="s">
        <v>637</v>
      </c>
    </row>
    <row r="192" spans="1:7" x14ac:dyDescent="0.2">
      <c r="A192" s="11">
        <v>176</v>
      </c>
      <c r="B192" s="5" t="s">
        <v>910</v>
      </c>
      <c r="C192" s="11">
        <v>10613092990</v>
      </c>
      <c r="D192" s="5" t="s">
        <v>911</v>
      </c>
      <c r="E192" s="8">
        <v>2025.63</v>
      </c>
      <c r="F192" s="5" t="s">
        <v>10</v>
      </c>
      <c r="G192" s="2" t="s">
        <v>23</v>
      </c>
    </row>
    <row r="193" spans="1:7" x14ac:dyDescent="0.2">
      <c r="A193" s="11">
        <v>177</v>
      </c>
      <c r="B193" s="5" t="s">
        <v>1267</v>
      </c>
      <c r="C193" s="12">
        <v>69022699714</v>
      </c>
      <c r="D193" s="5" t="s">
        <v>1268</v>
      </c>
      <c r="E193" s="8">
        <v>4169.38</v>
      </c>
      <c r="F193" s="5" t="s">
        <v>10</v>
      </c>
      <c r="G193" s="2" t="s">
        <v>23</v>
      </c>
    </row>
    <row r="194" spans="1:7" x14ac:dyDescent="0.2">
      <c r="A194" s="11">
        <v>178</v>
      </c>
      <c r="B194" s="5" t="s">
        <v>1405</v>
      </c>
      <c r="C194" s="11">
        <v>29059177553</v>
      </c>
      <c r="D194" s="5" t="s">
        <v>1406</v>
      </c>
      <c r="E194" s="8">
        <v>139.36000000000001</v>
      </c>
      <c r="F194" s="5" t="s">
        <v>10</v>
      </c>
      <c r="G194" s="2" t="s">
        <v>1407</v>
      </c>
    </row>
    <row r="195" spans="1:7" x14ac:dyDescent="0.2">
      <c r="A195" s="11">
        <v>179</v>
      </c>
      <c r="B195" s="5" t="s">
        <v>1347</v>
      </c>
      <c r="C195" s="12" t="s">
        <v>1348</v>
      </c>
      <c r="D195" s="5" t="s">
        <v>1349</v>
      </c>
      <c r="E195" s="8">
        <v>641.25</v>
      </c>
      <c r="F195" s="5" t="s">
        <v>10</v>
      </c>
      <c r="G195" s="2" t="s">
        <v>23</v>
      </c>
    </row>
    <row r="196" spans="1:7" x14ac:dyDescent="0.2">
      <c r="A196" s="11">
        <v>180</v>
      </c>
      <c r="B196" s="5" t="s">
        <v>1466</v>
      </c>
      <c r="C196" s="11">
        <v>38842004780</v>
      </c>
      <c r="D196" s="5" t="s">
        <v>1467</v>
      </c>
      <c r="E196" s="8">
        <v>1927.88</v>
      </c>
      <c r="F196" s="5" t="s">
        <v>10</v>
      </c>
      <c r="G196" s="2" t="s">
        <v>23</v>
      </c>
    </row>
    <row r="197" spans="1:7" x14ac:dyDescent="0.2">
      <c r="A197" s="11">
        <v>181</v>
      </c>
      <c r="B197" s="5" t="s">
        <v>1654</v>
      </c>
      <c r="C197" s="11" t="s">
        <v>1655</v>
      </c>
      <c r="D197" s="5" t="s">
        <v>1656</v>
      </c>
      <c r="E197" s="8">
        <v>202.7</v>
      </c>
      <c r="F197" s="5" t="s">
        <v>10</v>
      </c>
      <c r="G197" s="2" t="s">
        <v>23</v>
      </c>
    </row>
    <row r="198" spans="1:7" x14ac:dyDescent="0.2">
      <c r="A198" s="11">
        <v>182</v>
      </c>
      <c r="B198" s="5" t="s">
        <v>1753</v>
      </c>
      <c r="C198" s="11">
        <v>36173366948</v>
      </c>
      <c r="D198" s="5" t="s">
        <v>1754</v>
      </c>
      <c r="E198" s="8">
        <v>80</v>
      </c>
      <c r="F198" s="5" t="s">
        <v>10</v>
      </c>
      <c r="G198" s="2" t="s">
        <v>23</v>
      </c>
    </row>
    <row r="199" spans="1:7" x14ac:dyDescent="0.2">
      <c r="A199" s="11">
        <v>183</v>
      </c>
      <c r="B199" s="5" t="s">
        <v>1755</v>
      </c>
      <c r="C199" s="11">
        <v>34659457170</v>
      </c>
      <c r="D199" s="5" t="s">
        <v>353</v>
      </c>
      <c r="E199" s="8">
        <v>212.25</v>
      </c>
      <c r="F199" s="5" t="s">
        <v>10</v>
      </c>
      <c r="G199" s="2" t="s">
        <v>23</v>
      </c>
    </row>
    <row r="200" spans="1:7" x14ac:dyDescent="0.2">
      <c r="A200" s="11">
        <v>184</v>
      </c>
      <c r="B200" s="5" t="s">
        <v>163</v>
      </c>
      <c r="C200" s="11">
        <v>40382428949</v>
      </c>
      <c r="D200" s="5" t="s">
        <v>220</v>
      </c>
      <c r="E200" s="8">
        <f>12.18+393.65</f>
        <v>405.83</v>
      </c>
      <c r="F200" s="5" t="s">
        <v>10</v>
      </c>
      <c r="G200" s="2" t="s">
        <v>23</v>
      </c>
    </row>
    <row r="201" spans="1:7" x14ac:dyDescent="0.2">
      <c r="A201" s="11">
        <v>185</v>
      </c>
      <c r="B201" s="5" t="s">
        <v>771</v>
      </c>
      <c r="C201" s="11">
        <v>92378435625</v>
      </c>
      <c r="D201" s="5" t="s">
        <v>772</v>
      </c>
      <c r="E201" s="8">
        <v>70</v>
      </c>
      <c r="F201" s="5" t="s">
        <v>10</v>
      </c>
      <c r="G201" s="2" t="s">
        <v>118</v>
      </c>
    </row>
    <row r="202" spans="1:7" x14ac:dyDescent="0.2">
      <c r="A202" s="11">
        <v>186</v>
      </c>
      <c r="B202" s="5" t="s">
        <v>1756</v>
      </c>
      <c r="C202" s="11">
        <v>43764396102</v>
      </c>
      <c r="D202" s="5" t="s">
        <v>1757</v>
      </c>
      <c r="E202" s="8">
        <f>1425+4320</f>
        <v>5745</v>
      </c>
      <c r="F202" s="5" t="s">
        <v>10</v>
      </c>
      <c r="G202" s="2" t="s">
        <v>23</v>
      </c>
    </row>
    <row r="203" spans="1:7" x14ac:dyDescent="0.2">
      <c r="A203" s="11">
        <v>187</v>
      </c>
      <c r="B203" s="5" t="s">
        <v>156</v>
      </c>
      <c r="C203" s="11">
        <v>51645411160</v>
      </c>
      <c r="D203" s="5" t="s">
        <v>215</v>
      </c>
      <c r="E203" s="8">
        <v>101.8</v>
      </c>
      <c r="F203" s="5" t="s">
        <v>10</v>
      </c>
      <c r="G203" s="2" t="s">
        <v>23</v>
      </c>
    </row>
    <row r="204" spans="1:7" x14ac:dyDescent="0.2">
      <c r="A204" s="11">
        <v>188</v>
      </c>
      <c r="B204" s="5" t="s">
        <v>706</v>
      </c>
      <c r="C204" s="11" t="s">
        <v>708</v>
      </c>
      <c r="D204" s="5" t="s">
        <v>707</v>
      </c>
      <c r="E204" s="8">
        <v>3087.9</v>
      </c>
      <c r="F204" s="5" t="s">
        <v>10</v>
      </c>
      <c r="G204" s="2" t="s">
        <v>23</v>
      </c>
    </row>
    <row r="205" spans="1:7" x14ac:dyDescent="0.2">
      <c r="A205" s="11">
        <v>189</v>
      </c>
      <c r="B205" s="5" t="s">
        <v>787</v>
      </c>
      <c r="C205" s="11" t="s">
        <v>788</v>
      </c>
      <c r="D205" s="5" t="s">
        <v>789</v>
      </c>
      <c r="E205" s="8">
        <v>2491.6</v>
      </c>
      <c r="F205" s="5" t="s">
        <v>10</v>
      </c>
      <c r="G205" s="2" t="s">
        <v>23</v>
      </c>
    </row>
    <row r="206" spans="1:7" x14ac:dyDescent="0.2">
      <c r="A206" s="11">
        <v>190</v>
      </c>
      <c r="B206" s="5" t="s">
        <v>748</v>
      </c>
      <c r="C206" s="11">
        <v>42826255368</v>
      </c>
      <c r="D206" s="5" t="s">
        <v>749</v>
      </c>
      <c r="E206" s="8">
        <v>1356.25</v>
      </c>
      <c r="F206" s="5" t="s">
        <v>10</v>
      </c>
      <c r="G206" s="2" t="s">
        <v>23</v>
      </c>
    </row>
    <row r="207" spans="1:7" x14ac:dyDescent="0.2">
      <c r="A207" s="11">
        <v>191</v>
      </c>
      <c r="B207" s="5" t="s">
        <v>846</v>
      </c>
      <c r="C207" s="11">
        <v>51469557335</v>
      </c>
      <c r="D207" s="5" t="s">
        <v>847</v>
      </c>
      <c r="E207" s="8">
        <v>81.75</v>
      </c>
      <c r="F207" s="5" t="s">
        <v>10</v>
      </c>
      <c r="G207" s="2" t="s">
        <v>23</v>
      </c>
    </row>
    <row r="208" spans="1:7" x14ac:dyDescent="0.2">
      <c r="A208" s="11">
        <v>192</v>
      </c>
      <c r="B208" s="5" t="s">
        <v>852</v>
      </c>
      <c r="C208" s="11">
        <v>94472454976</v>
      </c>
      <c r="D208" s="5" t="s">
        <v>853</v>
      </c>
      <c r="E208" s="8">
        <v>5705.64</v>
      </c>
      <c r="F208" s="5" t="s">
        <v>10</v>
      </c>
      <c r="G208" s="2" t="s">
        <v>854</v>
      </c>
    </row>
    <row r="209" spans="1:7" x14ac:dyDescent="0.2">
      <c r="A209" s="11">
        <v>193</v>
      </c>
      <c r="B209" s="5" t="s">
        <v>902</v>
      </c>
      <c r="C209" s="11" t="s">
        <v>904</v>
      </c>
      <c r="D209" s="5" t="s">
        <v>903</v>
      </c>
      <c r="E209" s="8">
        <v>3588</v>
      </c>
      <c r="F209" s="5" t="s">
        <v>10</v>
      </c>
      <c r="G209" s="2" t="s">
        <v>23</v>
      </c>
    </row>
    <row r="210" spans="1:7" x14ac:dyDescent="0.2">
      <c r="A210" s="11">
        <v>194</v>
      </c>
      <c r="B210" s="5" t="s">
        <v>956</v>
      </c>
      <c r="C210" s="12" t="s">
        <v>957</v>
      </c>
      <c r="D210" s="5" t="s">
        <v>958</v>
      </c>
      <c r="E210" s="8">
        <v>56.25</v>
      </c>
      <c r="F210" s="5" t="s">
        <v>10</v>
      </c>
      <c r="G210" s="2" t="s">
        <v>23</v>
      </c>
    </row>
    <row r="211" spans="1:7" x14ac:dyDescent="0.2">
      <c r="A211" s="11">
        <v>195</v>
      </c>
      <c r="B211" s="5" t="s">
        <v>1086</v>
      </c>
      <c r="C211" s="11" t="s">
        <v>1087</v>
      </c>
      <c r="D211" s="5" t="s">
        <v>1088</v>
      </c>
      <c r="E211" s="8">
        <v>1449.24</v>
      </c>
      <c r="F211" s="5" t="s">
        <v>10</v>
      </c>
      <c r="G211" s="2" t="s">
        <v>23</v>
      </c>
    </row>
    <row r="212" spans="1:7" x14ac:dyDescent="0.2">
      <c r="A212" s="11">
        <v>196</v>
      </c>
      <c r="B212" s="5" t="s">
        <v>1758</v>
      </c>
      <c r="C212" s="11">
        <v>18376805890</v>
      </c>
      <c r="D212" s="5" t="s">
        <v>1759</v>
      </c>
      <c r="E212" s="8">
        <v>327.7</v>
      </c>
      <c r="F212" s="5" t="s">
        <v>10</v>
      </c>
      <c r="G212" s="2" t="s">
        <v>1760</v>
      </c>
    </row>
    <row r="213" spans="1:7" x14ac:dyDescent="0.2">
      <c r="A213" s="11">
        <v>197</v>
      </c>
      <c r="B213" s="5" t="s">
        <v>1083</v>
      </c>
      <c r="C213" s="11" t="s">
        <v>1084</v>
      </c>
      <c r="D213" s="5" t="s">
        <v>1085</v>
      </c>
      <c r="E213" s="8">
        <v>5005</v>
      </c>
      <c r="F213" s="5" t="s">
        <v>10</v>
      </c>
      <c r="G213" s="2" t="s">
        <v>23</v>
      </c>
    </row>
    <row r="214" spans="1:7" x14ac:dyDescent="0.2">
      <c r="A214" s="11">
        <v>198</v>
      </c>
      <c r="B214" s="5" t="s">
        <v>1761</v>
      </c>
      <c r="C214" s="11">
        <v>60654129780</v>
      </c>
      <c r="D214" s="5" t="s">
        <v>281</v>
      </c>
      <c r="E214" s="8">
        <v>109.5</v>
      </c>
      <c r="F214" s="5" t="s">
        <v>10</v>
      </c>
      <c r="G214" s="2" t="s">
        <v>23</v>
      </c>
    </row>
    <row r="215" spans="1:7" x14ac:dyDescent="0.2">
      <c r="A215" s="11">
        <v>199</v>
      </c>
      <c r="B215" s="5" t="s">
        <v>1452</v>
      </c>
      <c r="C215" s="12">
        <v>39643065205</v>
      </c>
      <c r="D215" s="5" t="s">
        <v>1453</v>
      </c>
      <c r="E215" s="8">
        <v>75</v>
      </c>
      <c r="F215" s="5" t="s">
        <v>10</v>
      </c>
      <c r="G215" s="2" t="s">
        <v>23</v>
      </c>
    </row>
    <row r="216" spans="1:7" x14ac:dyDescent="0.2">
      <c r="A216" s="11">
        <v>200</v>
      </c>
      <c r="B216" s="5" t="s">
        <v>1762</v>
      </c>
      <c r="C216" s="11" t="s">
        <v>1763</v>
      </c>
      <c r="D216" s="5" t="s">
        <v>1764</v>
      </c>
      <c r="E216" s="8">
        <v>594.30999999999995</v>
      </c>
      <c r="F216" s="5" t="s">
        <v>10</v>
      </c>
      <c r="G216" s="2" t="s">
        <v>23</v>
      </c>
    </row>
    <row r="217" spans="1:7" x14ac:dyDescent="0.2">
      <c r="A217" s="11">
        <v>201</v>
      </c>
      <c r="B217" s="5" t="s">
        <v>1765</v>
      </c>
      <c r="C217" s="11">
        <v>15584765545</v>
      </c>
      <c r="D217" s="5" t="s">
        <v>1766</v>
      </c>
      <c r="E217" s="8">
        <v>1125</v>
      </c>
      <c r="F217" s="5" t="s">
        <v>10</v>
      </c>
      <c r="G217" s="2" t="s">
        <v>243</v>
      </c>
    </row>
    <row r="218" spans="1:7" x14ac:dyDescent="0.2">
      <c r="A218" s="11">
        <v>202</v>
      </c>
      <c r="B218" s="5" t="s">
        <v>1767</v>
      </c>
      <c r="C218" s="11">
        <v>52097435670</v>
      </c>
      <c r="D218" s="5" t="s">
        <v>1768</v>
      </c>
      <c r="E218" s="8">
        <v>150.03</v>
      </c>
      <c r="F218" s="5" t="s">
        <v>10</v>
      </c>
      <c r="G218" s="2" t="s">
        <v>23</v>
      </c>
    </row>
    <row r="219" spans="1:7" x14ac:dyDescent="0.2">
      <c r="A219" s="11">
        <v>203</v>
      </c>
      <c r="B219" s="5" t="s">
        <v>1769</v>
      </c>
      <c r="C219" s="11">
        <v>62226620908</v>
      </c>
      <c r="D219" s="5" t="s">
        <v>1770</v>
      </c>
      <c r="E219" s="8">
        <v>116.23</v>
      </c>
      <c r="F219" s="5" t="s">
        <v>10</v>
      </c>
      <c r="G219" s="2" t="s">
        <v>173</v>
      </c>
    </row>
    <row r="220" spans="1:7" x14ac:dyDescent="0.2">
      <c r="A220" s="11">
        <v>204</v>
      </c>
      <c r="B220" s="5" t="s">
        <v>1771</v>
      </c>
      <c r="C220" s="11" t="s">
        <v>1772</v>
      </c>
      <c r="D220" s="5" t="s">
        <v>1773</v>
      </c>
      <c r="E220" s="8">
        <f>378.88+378.88</f>
        <v>757.76</v>
      </c>
      <c r="F220" s="5" t="s">
        <v>10</v>
      </c>
      <c r="G220" s="2" t="s">
        <v>287</v>
      </c>
    </row>
    <row r="221" spans="1:7" x14ac:dyDescent="0.2">
      <c r="A221" s="11">
        <v>205</v>
      </c>
      <c r="B221" s="5" t="s">
        <v>1774</v>
      </c>
      <c r="C221" s="11">
        <v>39241223213</v>
      </c>
      <c r="D221" s="5" t="s">
        <v>1775</v>
      </c>
      <c r="E221" s="8">
        <v>500.25</v>
      </c>
      <c r="F221" s="5" t="s">
        <v>10</v>
      </c>
      <c r="G221" s="2" t="s">
        <v>23</v>
      </c>
    </row>
    <row r="222" spans="1:7" x14ac:dyDescent="0.2">
      <c r="A222" s="11">
        <v>206</v>
      </c>
      <c r="B222" s="5" t="s">
        <v>1776</v>
      </c>
      <c r="C222" s="11">
        <v>66212551978</v>
      </c>
      <c r="D222" s="5" t="s">
        <v>1777</v>
      </c>
      <c r="E222" s="8">
        <v>2277.6</v>
      </c>
      <c r="F222" s="5" t="s">
        <v>10</v>
      </c>
      <c r="G222" s="2" t="s">
        <v>260</v>
      </c>
    </row>
    <row r="223" spans="1:7" x14ac:dyDescent="0.2">
      <c r="A223" s="11">
        <v>207</v>
      </c>
      <c r="B223" s="5" t="s">
        <v>1778</v>
      </c>
      <c r="C223" s="11">
        <v>75531206229</v>
      </c>
      <c r="D223" s="5" t="s">
        <v>1779</v>
      </c>
      <c r="E223" s="8">
        <v>4065.6</v>
      </c>
      <c r="F223" s="5" t="s">
        <v>10</v>
      </c>
      <c r="G223" s="2" t="s">
        <v>23</v>
      </c>
    </row>
    <row r="224" spans="1:7" x14ac:dyDescent="0.2">
      <c r="A224" s="11">
        <v>208</v>
      </c>
      <c r="B224" s="5" t="s">
        <v>1263</v>
      </c>
      <c r="C224" s="11">
        <v>99944170669</v>
      </c>
      <c r="D224" s="5" t="s">
        <v>1264</v>
      </c>
      <c r="E224" s="8">
        <v>160</v>
      </c>
      <c r="F224" s="5" t="s">
        <v>10</v>
      </c>
      <c r="G224" s="2" t="s">
        <v>505</v>
      </c>
    </row>
    <row r="225" spans="1:7" x14ac:dyDescent="0.2">
      <c r="A225" s="11">
        <v>209</v>
      </c>
      <c r="B225" s="5" t="s">
        <v>570</v>
      </c>
      <c r="C225" s="11" t="s">
        <v>600</v>
      </c>
      <c r="D225" s="5" t="s">
        <v>599</v>
      </c>
      <c r="E225" s="8">
        <v>258.75</v>
      </c>
      <c r="F225" s="5" t="s">
        <v>10</v>
      </c>
      <c r="G225" s="2" t="s">
        <v>23</v>
      </c>
    </row>
    <row r="226" spans="1:7" x14ac:dyDescent="0.2">
      <c r="A226" s="11">
        <v>210</v>
      </c>
      <c r="B226" s="23" t="s">
        <v>172</v>
      </c>
      <c r="C226" s="24">
        <v>80572192786</v>
      </c>
      <c r="D226" s="23" t="s">
        <v>226</v>
      </c>
      <c r="E226" s="8">
        <f>173+255.31+501</f>
        <v>929.31</v>
      </c>
      <c r="F226" s="23" t="s">
        <v>10</v>
      </c>
      <c r="G226" s="2" t="s">
        <v>1780</v>
      </c>
    </row>
    <row r="227" spans="1:7" x14ac:dyDescent="0.2">
      <c r="A227" s="11">
        <v>211</v>
      </c>
      <c r="B227" s="5" t="s">
        <v>399</v>
      </c>
      <c r="C227" s="11">
        <v>70140364776</v>
      </c>
      <c r="D227" s="5" t="s">
        <v>400</v>
      </c>
      <c r="E227" s="8">
        <v>346.74</v>
      </c>
      <c r="F227" s="5" t="s">
        <v>10</v>
      </c>
      <c r="G227" s="2" t="s">
        <v>362</v>
      </c>
    </row>
    <row r="228" spans="1:7" x14ac:dyDescent="0.2">
      <c r="A228" s="11">
        <v>212</v>
      </c>
      <c r="B228" s="5" t="s">
        <v>17</v>
      </c>
      <c r="C228" s="11" t="s">
        <v>17</v>
      </c>
      <c r="D228" s="5" t="s">
        <v>17</v>
      </c>
      <c r="E228" s="8">
        <v>159314.97</v>
      </c>
      <c r="F228" s="5" t="s">
        <v>10</v>
      </c>
      <c r="G228" s="2" t="s">
        <v>1781</v>
      </c>
    </row>
    <row r="229" spans="1:7" x14ac:dyDescent="0.2">
      <c r="A229" s="11">
        <v>213</v>
      </c>
      <c r="B229" s="5" t="s">
        <v>125</v>
      </c>
      <c r="C229" s="11">
        <v>15429488788</v>
      </c>
      <c r="D229" s="5" t="s">
        <v>126</v>
      </c>
      <c r="E229" s="8">
        <f>961+148.11</f>
        <v>1109.1100000000001</v>
      </c>
      <c r="F229" s="5" t="s">
        <v>10</v>
      </c>
      <c r="G229" s="2" t="s">
        <v>62</v>
      </c>
    </row>
    <row r="230" spans="1:7" x14ac:dyDescent="0.2">
      <c r="A230" s="11">
        <v>214</v>
      </c>
      <c r="B230" s="5" t="s">
        <v>1782</v>
      </c>
      <c r="C230" s="11">
        <v>80001002923</v>
      </c>
      <c r="D230" s="5" t="s">
        <v>1783</v>
      </c>
      <c r="E230" s="8">
        <v>20.91</v>
      </c>
      <c r="F230" s="5" t="s">
        <v>10</v>
      </c>
      <c r="G230" s="2" t="s">
        <v>23</v>
      </c>
    </row>
    <row r="231" spans="1:7" x14ac:dyDescent="0.2">
      <c r="A231" s="11">
        <v>215</v>
      </c>
      <c r="B231" s="5" t="s">
        <v>1784</v>
      </c>
      <c r="C231" s="11">
        <v>27692443102</v>
      </c>
      <c r="D231" s="5" t="s">
        <v>1785</v>
      </c>
      <c r="E231" s="8">
        <f>3240+1620</f>
        <v>4860</v>
      </c>
      <c r="F231" s="5" t="s">
        <v>10</v>
      </c>
      <c r="G231" s="2" t="s">
        <v>23</v>
      </c>
    </row>
    <row r="232" spans="1:7" x14ac:dyDescent="0.2">
      <c r="A232" s="11">
        <v>216</v>
      </c>
      <c r="B232" s="5" t="s">
        <v>1786</v>
      </c>
      <c r="C232" s="11">
        <v>43699365561</v>
      </c>
      <c r="D232" s="5" t="s">
        <v>1787</v>
      </c>
      <c r="E232" s="8">
        <v>895.11</v>
      </c>
      <c r="F232" s="5" t="s">
        <v>10</v>
      </c>
      <c r="G232" s="2" t="s">
        <v>147</v>
      </c>
    </row>
    <row r="233" spans="1:7" x14ac:dyDescent="0.2">
      <c r="A233" s="11">
        <v>217</v>
      </c>
      <c r="B233" s="5" t="s">
        <v>1603</v>
      </c>
      <c r="C233" s="11">
        <v>37059070344</v>
      </c>
      <c r="D233" s="5" t="s">
        <v>1604</v>
      </c>
      <c r="E233" s="8">
        <v>1777.5</v>
      </c>
      <c r="F233" s="5" t="s">
        <v>10</v>
      </c>
      <c r="G233" s="2" t="s">
        <v>763</v>
      </c>
    </row>
    <row r="234" spans="1:7" x14ac:dyDescent="0.2">
      <c r="A234" s="11">
        <v>218</v>
      </c>
      <c r="B234" s="5" t="s">
        <v>1727</v>
      </c>
      <c r="C234" s="11">
        <v>57845277445</v>
      </c>
      <c r="D234" s="5" t="s">
        <v>1728</v>
      </c>
      <c r="E234" s="8">
        <v>113.5</v>
      </c>
      <c r="F234" s="5" t="s">
        <v>10</v>
      </c>
      <c r="G234" s="2" t="s">
        <v>176</v>
      </c>
    </row>
    <row r="235" spans="1:7" x14ac:dyDescent="0.2">
      <c r="A235" s="11">
        <v>219</v>
      </c>
      <c r="B235" s="5" t="s">
        <v>1788</v>
      </c>
      <c r="C235" s="11">
        <v>85382541239</v>
      </c>
      <c r="D235" s="5" t="s">
        <v>1500</v>
      </c>
      <c r="E235" s="8">
        <v>1175</v>
      </c>
      <c r="F235" s="5" t="s">
        <v>10</v>
      </c>
      <c r="G235" s="2" t="s">
        <v>791</v>
      </c>
    </row>
    <row r="236" spans="1:7" x14ac:dyDescent="0.2">
      <c r="A236" s="11">
        <v>220</v>
      </c>
      <c r="B236" s="5" t="s">
        <v>1479</v>
      </c>
      <c r="C236" s="12">
        <v>83442273157</v>
      </c>
      <c r="D236" s="5" t="s">
        <v>1480</v>
      </c>
      <c r="E236" s="8">
        <v>850</v>
      </c>
      <c r="F236" s="5" t="s">
        <v>10</v>
      </c>
      <c r="G236" s="2" t="s">
        <v>192</v>
      </c>
    </row>
    <row r="237" spans="1:7" x14ac:dyDescent="0.2">
      <c r="A237" s="11">
        <v>221</v>
      </c>
      <c r="B237" s="5" t="s">
        <v>1731</v>
      </c>
      <c r="C237" s="12">
        <v>15140147538</v>
      </c>
      <c r="D237" s="5" t="s">
        <v>592</v>
      </c>
      <c r="E237" s="8">
        <f>1845</f>
        <v>1845</v>
      </c>
      <c r="F237" s="5" t="s">
        <v>10</v>
      </c>
      <c r="G237" s="2" t="s">
        <v>23</v>
      </c>
    </row>
    <row r="238" spans="1:7" x14ac:dyDescent="0.2">
      <c r="A238" s="11">
        <v>222</v>
      </c>
      <c r="B238" s="5" t="s">
        <v>1459</v>
      </c>
      <c r="C238" s="11">
        <v>98164456048</v>
      </c>
      <c r="D238" s="5" t="s">
        <v>1460</v>
      </c>
      <c r="E238" s="8">
        <v>2023.15</v>
      </c>
      <c r="F238" s="5" t="s">
        <v>10</v>
      </c>
      <c r="G238" s="2" t="s">
        <v>186</v>
      </c>
    </row>
    <row r="239" spans="1:7" x14ac:dyDescent="0.2">
      <c r="A239" s="11">
        <v>223</v>
      </c>
      <c r="B239" s="5" t="s">
        <v>1139</v>
      </c>
      <c r="C239" s="11">
        <v>66402309304</v>
      </c>
      <c r="D239" s="5" t="s">
        <v>1140</v>
      </c>
      <c r="E239" s="8">
        <f>2900+3150</f>
        <v>6050</v>
      </c>
      <c r="F239" s="5" t="s">
        <v>10</v>
      </c>
      <c r="G239" s="2" t="s">
        <v>23</v>
      </c>
    </row>
    <row r="240" spans="1:7" ht="5.25" customHeight="1" x14ac:dyDescent="0.2">
      <c r="A240" s="11"/>
      <c r="B240" s="5"/>
      <c r="C240" s="11"/>
      <c r="D240" s="5"/>
      <c r="E240" s="8"/>
      <c r="F240" s="5"/>
      <c r="G240" s="2"/>
    </row>
    <row r="242" spans="4:5" x14ac:dyDescent="0.2">
      <c r="D242" s="51" t="s">
        <v>1789</v>
      </c>
      <c r="E242" s="64">
        <f>SUM(E11:E240)</f>
        <v>2146453.9899999988</v>
      </c>
    </row>
  </sheetData>
  <sheetProtection algorithmName="SHA-512" hashValue="b/5b0WWmQ7j7xEjP8J3bEZ5L1raSz17ot2P3zOCKpEbMaZFVaZT4nV4PpBz+oHNU0EcNnzNgM6ske1y7ohybBw==" saltValue="7N1+8Xd7PHjUyxJTdNy1JA==" spinCount="100000" sheet="1" objects="1" scenarios="1" selectLockedCells="1" autoFilter="0" selectUnlockedCells="1"/>
  <autoFilter ref="A10:G10" xr:uid="{5D3A6BB4-6B89-4945-B98F-332743098972}"/>
  <mergeCells count="23">
    <mergeCell ref="A134:A135"/>
    <mergeCell ref="B134:B135"/>
    <mergeCell ref="C134:C135"/>
    <mergeCell ref="D134:D135"/>
    <mergeCell ref="F134:F135"/>
    <mergeCell ref="A42:A43"/>
    <mergeCell ref="B42:B43"/>
    <mergeCell ref="C42:C43"/>
    <mergeCell ref="D42:D43"/>
    <mergeCell ref="F42:F43"/>
    <mergeCell ref="A54:A57"/>
    <mergeCell ref="B54:B57"/>
    <mergeCell ref="C54:C57"/>
    <mergeCell ref="D54:D57"/>
    <mergeCell ref="F54:F57"/>
    <mergeCell ref="A6:B6"/>
    <mergeCell ref="A7:B7"/>
    <mergeCell ref="C8:F8"/>
    <mergeCell ref="A30:A31"/>
    <mergeCell ref="B30:B31"/>
    <mergeCell ref="C30:C31"/>
    <mergeCell ref="D30:D31"/>
    <mergeCell ref="F30:F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AF0AD-1CFD-43D7-AB9D-0F9E792558D6}">
  <sheetPr codeName="List2"/>
  <dimension ref="A5:L280"/>
  <sheetViews>
    <sheetView workbookViewId="0">
      <selection activeCell="D290" sqref="D290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3.28515625" style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74" t="s">
        <v>7</v>
      </c>
      <c r="B6" s="74"/>
    </row>
    <row r="7" spans="1:7" x14ac:dyDescent="0.2">
      <c r="A7" s="74" t="s">
        <v>8</v>
      </c>
      <c r="B7" s="74"/>
    </row>
    <row r="8" spans="1:7" x14ac:dyDescent="0.2">
      <c r="A8" s="25"/>
      <c r="B8" s="6"/>
      <c r="C8" s="75" t="s">
        <v>634</v>
      </c>
      <c r="D8" s="75"/>
      <c r="E8" s="75"/>
      <c r="F8" s="75"/>
    </row>
    <row r="10" spans="1:7" x14ac:dyDescent="0.2">
      <c r="A10" s="3" t="s">
        <v>1</v>
      </c>
      <c r="B10" s="4" t="s">
        <v>0</v>
      </c>
      <c r="C10" s="3" t="s">
        <v>42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11</v>
      </c>
      <c r="C11" s="11">
        <v>23780250353</v>
      </c>
      <c r="D11" s="5" t="s">
        <v>27</v>
      </c>
      <c r="E11" s="8">
        <v>2520.39</v>
      </c>
      <c r="F11" s="5" t="s">
        <v>10</v>
      </c>
      <c r="G11" s="2" t="s">
        <v>12</v>
      </c>
    </row>
    <row r="12" spans="1:7" x14ac:dyDescent="0.2">
      <c r="A12" s="11">
        <v>2</v>
      </c>
      <c r="B12" s="5" t="s">
        <v>13</v>
      </c>
      <c r="C12" s="11">
        <v>90275854576</v>
      </c>
      <c r="D12" s="5" t="s">
        <v>28</v>
      </c>
      <c r="E12" s="8">
        <v>329.68</v>
      </c>
      <c r="F12" s="5" t="s">
        <v>10</v>
      </c>
      <c r="G12" s="2" t="s">
        <v>12</v>
      </c>
    </row>
    <row r="13" spans="1:7" x14ac:dyDescent="0.2">
      <c r="A13" s="11">
        <v>3</v>
      </c>
      <c r="B13" s="5" t="s">
        <v>14</v>
      </c>
      <c r="C13" s="11">
        <v>87939104217</v>
      </c>
      <c r="D13" s="5" t="s">
        <v>15</v>
      </c>
      <c r="E13" s="8">
        <v>23.59</v>
      </c>
      <c r="F13" s="5" t="s">
        <v>10</v>
      </c>
      <c r="G13" s="2" t="s">
        <v>16</v>
      </c>
    </row>
    <row r="14" spans="1:7" x14ac:dyDescent="0.2">
      <c r="A14" s="11">
        <v>4</v>
      </c>
      <c r="B14" s="5" t="s">
        <v>17</v>
      </c>
      <c r="C14" s="11" t="s">
        <v>17</v>
      </c>
      <c r="D14" s="5" t="s">
        <v>17</v>
      </c>
      <c r="E14" s="8">
        <v>2240</v>
      </c>
      <c r="F14" s="5" t="s">
        <v>10</v>
      </c>
      <c r="G14" s="2" t="s">
        <v>18</v>
      </c>
    </row>
    <row r="15" spans="1:7" ht="14.25" customHeight="1" x14ac:dyDescent="0.2">
      <c r="A15" s="11">
        <v>5</v>
      </c>
      <c r="B15" s="5" t="s">
        <v>19</v>
      </c>
      <c r="C15" s="12" t="s">
        <v>30</v>
      </c>
      <c r="D15" s="9" t="s">
        <v>31</v>
      </c>
      <c r="E15" s="8">
        <v>5341.95</v>
      </c>
      <c r="F15" s="5" t="s">
        <v>10</v>
      </c>
      <c r="G15" s="2" t="s">
        <v>20</v>
      </c>
    </row>
    <row r="16" spans="1:7" x14ac:dyDescent="0.2">
      <c r="A16" s="11">
        <v>6</v>
      </c>
      <c r="B16" s="5" t="s">
        <v>22</v>
      </c>
      <c r="C16" s="11">
        <v>85167032587</v>
      </c>
      <c r="D16" s="5" t="s">
        <v>29</v>
      </c>
      <c r="E16" s="8">
        <v>527.30999999999995</v>
      </c>
      <c r="F16" s="5" t="s">
        <v>10</v>
      </c>
      <c r="G16" s="2" t="s">
        <v>21</v>
      </c>
    </row>
    <row r="17" spans="1:8" x14ac:dyDescent="0.2">
      <c r="A17" s="11">
        <v>7</v>
      </c>
      <c r="B17" s="5" t="s">
        <v>691</v>
      </c>
      <c r="C17" s="11">
        <v>31826907316</v>
      </c>
      <c r="D17" s="5" t="s">
        <v>692</v>
      </c>
      <c r="E17" s="8">
        <v>81408.44</v>
      </c>
      <c r="F17" s="5" t="s">
        <v>10</v>
      </c>
      <c r="G17" s="2" t="s">
        <v>23</v>
      </c>
    </row>
    <row r="18" spans="1:8" x14ac:dyDescent="0.2">
      <c r="A18" s="11">
        <v>8</v>
      </c>
      <c r="B18" s="5" t="s">
        <v>696</v>
      </c>
      <c r="C18" s="11">
        <v>11711059133</v>
      </c>
      <c r="D18" s="5" t="s">
        <v>697</v>
      </c>
      <c r="E18" s="8">
        <v>2518.75</v>
      </c>
      <c r="F18" s="5" t="s">
        <v>10</v>
      </c>
      <c r="G18" s="2" t="s">
        <v>23</v>
      </c>
    </row>
    <row r="19" spans="1:8" x14ac:dyDescent="0.2">
      <c r="A19" s="11">
        <v>9</v>
      </c>
      <c r="B19" s="5" t="s">
        <v>688</v>
      </c>
      <c r="C19" s="11">
        <v>44040649076</v>
      </c>
      <c r="D19" s="5" t="s">
        <v>689</v>
      </c>
      <c r="E19" s="8">
        <v>60000</v>
      </c>
      <c r="F19" s="5" t="s">
        <v>10</v>
      </c>
      <c r="G19" s="2" t="s">
        <v>23</v>
      </c>
    </row>
    <row r="20" spans="1:8" x14ac:dyDescent="0.2">
      <c r="A20" s="11">
        <v>10</v>
      </c>
      <c r="B20" s="5" t="s">
        <v>17</v>
      </c>
      <c r="C20" s="11" t="s">
        <v>17</v>
      </c>
      <c r="D20" s="5" t="s">
        <v>17</v>
      </c>
      <c r="E20" s="8">
        <f>1101874.23+13.27+996.44+3.39+1216.6+10.46</f>
        <v>1104114.3899999999</v>
      </c>
      <c r="F20" s="5" t="s">
        <v>10</v>
      </c>
      <c r="G20" s="2" t="s">
        <v>34</v>
      </c>
    </row>
    <row r="21" spans="1:8" ht="15" customHeight="1" x14ac:dyDescent="0.2">
      <c r="A21" s="11">
        <v>11</v>
      </c>
      <c r="B21" s="5" t="s">
        <v>639</v>
      </c>
      <c r="C21" s="11">
        <v>13430781274</v>
      </c>
      <c r="D21" s="9" t="s">
        <v>640</v>
      </c>
      <c r="E21" s="8">
        <v>1440</v>
      </c>
      <c r="F21" s="5" t="s">
        <v>10</v>
      </c>
      <c r="G21" s="2" t="s">
        <v>86</v>
      </c>
    </row>
    <row r="22" spans="1:8" x14ac:dyDescent="0.2">
      <c r="A22" s="11">
        <v>12</v>
      </c>
      <c r="B22" s="5" t="s">
        <v>36</v>
      </c>
      <c r="C22" s="11">
        <v>100001159</v>
      </c>
      <c r="D22" s="5" t="s">
        <v>37</v>
      </c>
      <c r="E22" s="8">
        <v>22.14</v>
      </c>
      <c r="F22" s="5" t="s">
        <v>10</v>
      </c>
      <c r="G22" s="2" t="s">
        <v>16</v>
      </c>
    </row>
    <row r="23" spans="1:8" x14ac:dyDescent="0.2">
      <c r="A23" s="11">
        <v>13</v>
      </c>
      <c r="B23" s="5" t="s">
        <v>39</v>
      </c>
      <c r="C23" s="12" t="s">
        <v>44</v>
      </c>
      <c r="D23" s="5" t="s">
        <v>43</v>
      </c>
      <c r="E23" s="8">
        <f>12+15+1124.84</f>
        <v>1151.8399999999999</v>
      </c>
      <c r="F23" s="5" t="s">
        <v>10</v>
      </c>
      <c r="G23" s="2" t="s">
        <v>16</v>
      </c>
    </row>
    <row r="24" spans="1:8" x14ac:dyDescent="0.2">
      <c r="A24" s="11">
        <v>14</v>
      </c>
      <c r="B24" s="5" t="s">
        <v>45</v>
      </c>
      <c r="C24" s="11">
        <v>57500462912</v>
      </c>
      <c r="D24" s="5" t="s">
        <v>47</v>
      </c>
      <c r="E24" s="8">
        <v>1100</v>
      </c>
      <c r="F24" s="5" t="s">
        <v>10</v>
      </c>
      <c r="G24" s="2" t="s">
        <v>46</v>
      </c>
    </row>
    <row r="25" spans="1:8" x14ac:dyDescent="0.2">
      <c r="A25" s="11">
        <v>15</v>
      </c>
      <c r="B25" s="5" t="s">
        <v>49</v>
      </c>
      <c r="C25" s="11">
        <v>98138500552</v>
      </c>
      <c r="D25" s="5" t="s">
        <v>50</v>
      </c>
      <c r="E25" s="8">
        <v>14421.25</v>
      </c>
      <c r="F25" s="5" t="s">
        <v>10</v>
      </c>
      <c r="G25" s="2" t="s">
        <v>48</v>
      </c>
    </row>
    <row r="26" spans="1:8" ht="12.75" thickBot="1" x14ac:dyDescent="0.25">
      <c r="A26" s="11">
        <v>16</v>
      </c>
      <c r="B26" s="5" t="s">
        <v>693</v>
      </c>
      <c r="C26" s="11" t="s">
        <v>694</v>
      </c>
      <c r="D26" s="5" t="s">
        <v>695</v>
      </c>
      <c r="E26" s="15">
        <v>14356.02</v>
      </c>
      <c r="F26" s="19" t="s">
        <v>10</v>
      </c>
      <c r="G26" s="28" t="s">
        <v>23</v>
      </c>
    </row>
    <row r="27" spans="1:8" x14ac:dyDescent="0.2">
      <c r="A27" s="67">
        <v>17</v>
      </c>
      <c r="B27" s="65" t="s">
        <v>54</v>
      </c>
      <c r="C27" s="79" t="s">
        <v>69</v>
      </c>
      <c r="D27" s="65" t="s">
        <v>68</v>
      </c>
      <c r="E27" s="16">
        <v>46360</v>
      </c>
      <c r="F27" s="82" t="s">
        <v>10</v>
      </c>
      <c r="G27" s="31" t="s">
        <v>55</v>
      </c>
    </row>
    <row r="28" spans="1:8" x14ac:dyDescent="0.2">
      <c r="A28" s="70"/>
      <c r="B28" s="69"/>
      <c r="C28" s="80"/>
      <c r="D28" s="69"/>
      <c r="E28" s="15">
        <v>1000</v>
      </c>
      <c r="F28" s="69"/>
      <c r="G28" s="2" t="s">
        <v>147</v>
      </c>
    </row>
    <row r="29" spans="1:8" x14ac:dyDescent="0.2">
      <c r="A29" s="70"/>
      <c r="B29" s="69"/>
      <c r="C29" s="80"/>
      <c r="D29" s="69"/>
      <c r="E29" s="15">
        <v>453.85</v>
      </c>
      <c r="F29" s="69"/>
      <c r="G29" s="28" t="s">
        <v>64</v>
      </c>
    </row>
    <row r="30" spans="1:8" ht="12.75" thickBot="1" x14ac:dyDescent="0.25">
      <c r="A30" s="68"/>
      <c r="B30" s="66"/>
      <c r="C30" s="81"/>
      <c r="D30" s="66"/>
      <c r="E30" s="18">
        <v>2742.45</v>
      </c>
      <c r="F30" s="83"/>
      <c r="G30" s="32" t="s">
        <v>61</v>
      </c>
    </row>
    <row r="31" spans="1:8" ht="12.75" thickBot="1" x14ac:dyDescent="0.25">
      <c r="A31" s="11">
        <v>18</v>
      </c>
      <c r="B31" s="5" t="s">
        <v>56</v>
      </c>
      <c r="C31" s="11">
        <v>23308926345</v>
      </c>
      <c r="D31" s="5" t="s">
        <v>74</v>
      </c>
      <c r="E31" s="29">
        <v>207.31</v>
      </c>
      <c r="F31" s="30" t="s">
        <v>10</v>
      </c>
      <c r="G31" s="31" t="s">
        <v>55</v>
      </c>
      <c r="H31" s="13"/>
    </row>
    <row r="32" spans="1:8" x14ac:dyDescent="0.2">
      <c r="A32" s="76">
        <v>19</v>
      </c>
      <c r="B32" s="65" t="s">
        <v>613</v>
      </c>
      <c r="C32" s="67">
        <v>66253945791</v>
      </c>
      <c r="D32" s="65" t="s">
        <v>67</v>
      </c>
      <c r="E32" s="16">
        <v>229875.03</v>
      </c>
      <c r="F32" s="65" t="s">
        <v>10</v>
      </c>
      <c r="G32" s="2" t="s">
        <v>55</v>
      </c>
    </row>
    <row r="33" spans="1:9" x14ac:dyDescent="0.2">
      <c r="A33" s="77"/>
      <c r="B33" s="69"/>
      <c r="C33" s="70"/>
      <c r="D33" s="69"/>
      <c r="E33" s="8">
        <v>271486.09999999998</v>
      </c>
      <c r="F33" s="69"/>
      <c r="G33" s="2" t="s">
        <v>58</v>
      </c>
      <c r="I33" s="13"/>
    </row>
    <row r="34" spans="1:9" ht="12.75" thickBot="1" x14ac:dyDescent="0.25">
      <c r="A34" s="78"/>
      <c r="B34" s="66"/>
      <c r="C34" s="68"/>
      <c r="D34" s="66"/>
      <c r="E34" s="18">
        <v>17025</v>
      </c>
      <c r="F34" s="66"/>
      <c r="G34" s="2" t="s">
        <v>23</v>
      </c>
      <c r="I34" s="13"/>
    </row>
    <row r="35" spans="1:9" x14ac:dyDescent="0.2">
      <c r="A35" s="11">
        <v>20</v>
      </c>
      <c r="B35" s="5" t="s">
        <v>652</v>
      </c>
      <c r="C35" s="12" t="s">
        <v>654</v>
      </c>
      <c r="D35" s="5" t="s">
        <v>653</v>
      </c>
      <c r="E35" s="17">
        <v>36826.879999999997</v>
      </c>
      <c r="F35" s="5" t="s">
        <v>10</v>
      </c>
      <c r="G35" s="2" t="s">
        <v>55</v>
      </c>
    </row>
    <row r="36" spans="1:9" ht="12.75" thickBot="1" x14ac:dyDescent="0.25">
      <c r="A36" s="11">
        <v>21</v>
      </c>
      <c r="B36" s="5" t="s">
        <v>59</v>
      </c>
      <c r="C36" s="11">
        <v>63073332379</v>
      </c>
      <c r="D36" s="5" t="s">
        <v>73</v>
      </c>
      <c r="E36" s="15">
        <v>8215</v>
      </c>
      <c r="F36" s="5" t="s">
        <v>10</v>
      </c>
      <c r="G36" s="2" t="s">
        <v>61</v>
      </c>
    </row>
    <row r="37" spans="1:9" x14ac:dyDescent="0.2">
      <c r="A37" s="67">
        <v>22</v>
      </c>
      <c r="B37" s="65" t="s">
        <v>60</v>
      </c>
      <c r="C37" s="67">
        <v>39901919995</v>
      </c>
      <c r="D37" s="65" t="s">
        <v>72</v>
      </c>
      <c r="E37" s="16">
        <v>4555.83</v>
      </c>
      <c r="F37" s="65" t="s">
        <v>10</v>
      </c>
      <c r="G37" s="2" t="s">
        <v>61</v>
      </c>
    </row>
    <row r="38" spans="1:9" x14ac:dyDescent="0.2">
      <c r="A38" s="70"/>
      <c r="B38" s="69"/>
      <c r="C38" s="70"/>
      <c r="D38" s="69"/>
      <c r="E38" s="8">
        <v>172.03</v>
      </c>
      <c r="F38" s="69"/>
      <c r="G38" s="2" t="s">
        <v>62</v>
      </c>
      <c r="I38" s="13"/>
    </row>
    <row r="39" spans="1:9" x14ac:dyDescent="0.2">
      <c r="A39" s="70"/>
      <c r="B39" s="69"/>
      <c r="C39" s="70"/>
      <c r="D39" s="69"/>
      <c r="E39" s="8">
        <v>13341.62</v>
      </c>
      <c r="F39" s="69"/>
      <c r="G39" s="2" t="s">
        <v>687</v>
      </c>
      <c r="I39" s="13"/>
    </row>
    <row r="40" spans="1:9" x14ac:dyDescent="0.2">
      <c r="A40" s="70"/>
      <c r="B40" s="69"/>
      <c r="C40" s="70"/>
      <c r="D40" s="69"/>
      <c r="E40" s="8">
        <v>30937.5</v>
      </c>
      <c r="F40" s="69"/>
      <c r="G40" s="2" t="s">
        <v>63</v>
      </c>
    </row>
    <row r="41" spans="1:9" ht="12.75" thickBot="1" x14ac:dyDescent="0.25">
      <c r="A41" s="68"/>
      <c r="B41" s="66"/>
      <c r="C41" s="68"/>
      <c r="D41" s="66"/>
      <c r="E41" s="18">
        <v>335.49</v>
      </c>
      <c r="F41" s="66"/>
      <c r="G41" s="2" t="s">
        <v>64</v>
      </c>
      <c r="I41" s="13"/>
    </row>
    <row r="42" spans="1:9" ht="12.75" thickBot="1" x14ac:dyDescent="0.25">
      <c r="A42" s="11">
        <f>A37+1</f>
        <v>23</v>
      </c>
      <c r="B42" s="5" t="s">
        <v>65</v>
      </c>
      <c r="C42" s="11">
        <v>93039509752</v>
      </c>
      <c r="D42" s="5" t="s">
        <v>75</v>
      </c>
      <c r="E42" s="20">
        <v>1494.79</v>
      </c>
      <c r="F42" s="19" t="s">
        <v>10</v>
      </c>
      <c r="G42" s="2" t="s">
        <v>66</v>
      </c>
    </row>
    <row r="43" spans="1:9" ht="15" customHeight="1" x14ac:dyDescent="0.2">
      <c r="A43" s="67">
        <v>24</v>
      </c>
      <c r="B43" s="65" t="s">
        <v>76</v>
      </c>
      <c r="C43" s="67">
        <v>11471889269</v>
      </c>
      <c r="D43" s="65" t="s">
        <v>77</v>
      </c>
      <c r="E43" s="16">
        <v>5885.23</v>
      </c>
      <c r="F43" s="65" t="s">
        <v>10</v>
      </c>
      <c r="G43" s="2" t="s">
        <v>58</v>
      </c>
    </row>
    <row r="44" spans="1:9" ht="12.75" thickBot="1" x14ac:dyDescent="0.25">
      <c r="A44" s="68"/>
      <c r="B44" s="66"/>
      <c r="C44" s="68"/>
      <c r="D44" s="66"/>
      <c r="E44" s="18">
        <v>492.6</v>
      </c>
      <c r="F44" s="69"/>
      <c r="G44" s="2" t="s">
        <v>23</v>
      </c>
    </row>
    <row r="45" spans="1:9" x14ac:dyDescent="0.2">
      <c r="A45" s="67">
        <v>25</v>
      </c>
      <c r="B45" s="65" t="s">
        <v>78</v>
      </c>
      <c r="C45" s="67">
        <v>27759560625</v>
      </c>
      <c r="D45" s="71" t="s">
        <v>80</v>
      </c>
      <c r="E45" s="17">
        <v>6589.69</v>
      </c>
      <c r="F45" s="65" t="s">
        <v>10</v>
      </c>
      <c r="G45" s="2" t="s">
        <v>79</v>
      </c>
    </row>
    <row r="46" spans="1:9" x14ac:dyDescent="0.2">
      <c r="A46" s="70"/>
      <c r="B46" s="69"/>
      <c r="C46" s="70"/>
      <c r="D46" s="72"/>
      <c r="E46" s="17">
        <v>36.68</v>
      </c>
      <c r="F46" s="69"/>
      <c r="G46" s="2" t="s">
        <v>679</v>
      </c>
    </row>
    <row r="47" spans="1:9" x14ac:dyDescent="0.2">
      <c r="A47" s="70"/>
      <c r="B47" s="69"/>
      <c r="C47" s="70"/>
      <c r="D47" s="72"/>
      <c r="E47" s="8">
        <f>947.79+9796.49+953.33</f>
        <v>11697.609999999999</v>
      </c>
      <c r="F47" s="69"/>
      <c r="G47" s="2" t="s">
        <v>23</v>
      </c>
    </row>
    <row r="48" spans="1:9" ht="12.75" thickBot="1" x14ac:dyDescent="0.25">
      <c r="A48" s="68"/>
      <c r="B48" s="66"/>
      <c r="C48" s="68"/>
      <c r="D48" s="73"/>
      <c r="E48" s="15">
        <v>102844.92</v>
      </c>
      <c r="F48" s="66"/>
      <c r="G48" s="2" t="s">
        <v>81</v>
      </c>
    </row>
    <row r="49" spans="1:7" x14ac:dyDescent="0.2">
      <c r="A49" s="11">
        <v>26</v>
      </c>
      <c r="B49" s="5" t="s">
        <v>83</v>
      </c>
      <c r="C49" s="11">
        <v>68419124305</v>
      </c>
      <c r="D49" s="5" t="s">
        <v>84</v>
      </c>
      <c r="E49" s="16">
        <v>84.96</v>
      </c>
      <c r="F49" s="5" t="s">
        <v>10</v>
      </c>
      <c r="G49" s="2" t="s">
        <v>82</v>
      </c>
    </row>
    <row r="50" spans="1:7" x14ac:dyDescent="0.2">
      <c r="A50" s="11">
        <v>27</v>
      </c>
      <c r="B50" s="5" t="s">
        <v>713</v>
      </c>
      <c r="C50" s="11" t="s">
        <v>715</v>
      </c>
      <c r="D50" s="5" t="s">
        <v>714</v>
      </c>
      <c r="E50" s="8">
        <v>11225.82</v>
      </c>
      <c r="F50" s="5" t="s">
        <v>10</v>
      </c>
      <c r="G50" s="2" t="s">
        <v>23</v>
      </c>
    </row>
    <row r="51" spans="1:7" x14ac:dyDescent="0.2">
      <c r="A51" s="11">
        <v>28</v>
      </c>
      <c r="B51" s="5" t="s">
        <v>88</v>
      </c>
      <c r="C51" s="11">
        <v>42889250808</v>
      </c>
      <c r="D51" s="5" t="s">
        <v>90</v>
      </c>
      <c r="E51" s="8">
        <v>77.31</v>
      </c>
      <c r="F51" s="5" t="s">
        <v>10</v>
      </c>
      <c r="G51" s="2" t="s">
        <v>86</v>
      </c>
    </row>
    <row r="52" spans="1:7" x14ac:dyDescent="0.2">
      <c r="A52" s="11">
        <v>29</v>
      </c>
      <c r="B52" s="5" t="s">
        <v>87</v>
      </c>
      <c r="C52" s="12" t="s">
        <v>92</v>
      </c>
      <c r="D52" s="5" t="s">
        <v>91</v>
      </c>
      <c r="E52" s="8">
        <v>647.08000000000004</v>
      </c>
      <c r="F52" s="5" t="s">
        <v>10</v>
      </c>
      <c r="G52" s="2" t="s">
        <v>86</v>
      </c>
    </row>
    <row r="53" spans="1:7" x14ac:dyDescent="0.2">
      <c r="A53" s="11">
        <v>30</v>
      </c>
      <c r="B53" s="5" t="s">
        <v>93</v>
      </c>
      <c r="C53" s="11">
        <v>72702911449</v>
      </c>
      <c r="D53" s="5" t="s">
        <v>95</v>
      </c>
      <c r="E53" s="8">
        <v>105</v>
      </c>
      <c r="F53" s="5" t="s">
        <v>10</v>
      </c>
      <c r="G53" s="2" t="s">
        <v>94</v>
      </c>
    </row>
    <row r="54" spans="1:7" x14ac:dyDescent="0.2">
      <c r="A54" s="11">
        <v>31</v>
      </c>
      <c r="B54" s="5" t="s">
        <v>96</v>
      </c>
      <c r="C54" s="11">
        <v>78997473821</v>
      </c>
      <c r="D54" s="5" t="s">
        <v>98</v>
      </c>
      <c r="E54" s="8">
        <v>220.86</v>
      </c>
      <c r="F54" s="5" t="s">
        <v>10</v>
      </c>
      <c r="G54" s="2" t="s">
        <v>97</v>
      </c>
    </row>
    <row r="55" spans="1:7" x14ac:dyDescent="0.2">
      <c r="A55" s="11">
        <v>32</v>
      </c>
      <c r="B55" s="5" t="s">
        <v>100</v>
      </c>
      <c r="C55" s="11" t="s">
        <v>17</v>
      </c>
      <c r="D55" s="5" t="s">
        <v>17</v>
      </c>
      <c r="E55" s="8">
        <v>218.88</v>
      </c>
      <c r="F55" s="5" t="s">
        <v>10</v>
      </c>
      <c r="G55" s="2" t="s">
        <v>99</v>
      </c>
    </row>
    <row r="56" spans="1:7" x14ac:dyDescent="0.2">
      <c r="A56" s="11">
        <v>33</v>
      </c>
      <c r="B56" s="5" t="s">
        <v>17</v>
      </c>
      <c r="C56" s="11" t="s">
        <v>17</v>
      </c>
      <c r="D56" s="5" t="s">
        <v>17</v>
      </c>
      <c r="E56" s="8">
        <v>3304</v>
      </c>
      <c r="F56" s="5" t="s">
        <v>10</v>
      </c>
      <c r="G56" s="2" t="s">
        <v>101</v>
      </c>
    </row>
    <row r="57" spans="1:7" x14ac:dyDescent="0.2">
      <c r="A57" s="11">
        <v>34</v>
      </c>
      <c r="B57" s="5" t="s">
        <v>711</v>
      </c>
      <c r="C57" s="11">
        <v>33813961569</v>
      </c>
      <c r="D57" s="5" t="s">
        <v>712</v>
      </c>
      <c r="E57" s="8">
        <v>505.57</v>
      </c>
      <c r="F57" s="5" t="s">
        <v>10</v>
      </c>
      <c r="G57" s="2" t="s">
        <v>112</v>
      </c>
    </row>
    <row r="58" spans="1:7" x14ac:dyDescent="0.2">
      <c r="A58" s="11">
        <v>35</v>
      </c>
      <c r="B58" s="5" t="s">
        <v>685</v>
      </c>
      <c r="C58" s="11">
        <v>78424785565</v>
      </c>
      <c r="D58" s="5" t="s">
        <v>686</v>
      </c>
      <c r="E58" s="8">
        <v>3242.5</v>
      </c>
      <c r="F58" s="5" t="s">
        <v>10</v>
      </c>
      <c r="G58" s="2" t="s">
        <v>23</v>
      </c>
    </row>
    <row r="59" spans="1:7" x14ac:dyDescent="0.2">
      <c r="A59" s="11">
        <v>36</v>
      </c>
      <c r="B59" s="5" t="s">
        <v>17</v>
      </c>
      <c r="C59" s="11" t="s">
        <v>17</v>
      </c>
      <c r="D59" s="5" t="s">
        <v>17</v>
      </c>
      <c r="E59" s="8">
        <f>4006.64+7152.52</f>
        <v>11159.16</v>
      </c>
      <c r="F59" s="5" t="s">
        <v>10</v>
      </c>
      <c r="G59" s="2" t="s">
        <v>107</v>
      </c>
    </row>
    <row r="60" spans="1:7" ht="12.75" thickBot="1" x14ac:dyDescent="0.25">
      <c r="A60" s="11">
        <v>37</v>
      </c>
      <c r="B60" s="5" t="s">
        <v>109</v>
      </c>
      <c r="C60" s="11">
        <v>32179081874</v>
      </c>
      <c r="D60" s="5" t="s">
        <v>110</v>
      </c>
      <c r="E60" s="15">
        <v>1387.02</v>
      </c>
      <c r="F60" s="19" t="s">
        <v>10</v>
      </c>
      <c r="G60" s="28" t="s">
        <v>108</v>
      </c>
    </row>
    <row r="61" spans="1:7" x14ac:dyDescent="0.2">
      <c r="A61" s="67">
        <v>38</v>
      </c>
      <c r="B61" s="65" t="s">
        <v>113</v>
      </c>
      <c r="C61" s="67">
        <v>76173743169</v>
      </c>
      <c r="D61" s="65" t="s">
        <v>111</v>
      </c>
      <c r="E61" s="16">
        <v>66.36</v>
      </c>
      <c r="F61" s="82" t="s">
        <v>10</v>
      </c>
      <c r="G61" s="31" t="s">
        <v>108</v>
      </c>
    </row>
    <row r="62" spans="1:7" x14ac:dyDescent="0.2">
      <c r="A62" s="68"/>
      <c r="B62" s="66"/>
      <c r="C62" s="68"/>
      <c r="D62" s="66"/>
      <c r="E62" s="8">
        <v>970.16</v>
      </c>
      <c r="F62" s="66"/>
      <c r="G62" s="2" t="s">
        <v>112</v>
      </c>
    </row>
    <row r="63" spans="1:7" ht="12.75" thickBot="1" x14ac:dyDescent="0.25">
      <c r="A63" s="11">
        <v>39</v>
      </c>
      <c r="B63" s="5" t="s">
        <v>114</v>
      </c>
      <c r="C63" s="12" t="s">
        <v>116</v>
      </c>
      <c r="D63" s="5" t="s">
        <v>117</v>
      </c>
      <c r="E63" s="18">
        <v>957.01</v>
      </c>
      <c r="F63" s="35" t="s">
        <v>10</v>
      </c>
      <c r="G63" s="32" t="s">
        <v>115</v>
      </c>
    </row>
    <row r="64" spans="1:7" x14ac:dyDescent="0.2">
      <c r="A64" s="67">
        <v>40</v>
      </c>
      <c r="B64" s="65" t="s">
        <v>119</v>
      </c>
      <c r="C64" s="67">
        <v>34976993601</v>
      </c>
      <c r="D64" s="65" t="s">
        <v>120</v>
      </c>
      <c r="E64" s="16">
        <v>907.41</v>
      </c>
      <c r="F64" s="82" t="s">
        <v>10</v>
      </c>
      <c r="G64" s="31" t="s">
        <v>118</v>
      </c>
    </row>
    <row r="65" spans="1:9" ht="12.75" thickBot="1" x14ac:dyDescent="0.25">
      <c r="A65" s="68"/>
      <c r="B65" s="66"/>
      <c r="C65" s="68"/>
      <c r="D65" s="66"/>
      <c r="E65" s="18">
        <v>353.61</v>
      </c>
      <c r="F65" s="83"/>
      <c r="G65" s="32" t="s">
        <v>287</v>
      </c>
    </row>
    <row r="66" spans="1:9" x14ac:dyDescent="0.2">
      <c r="A66" s="11">
        <v>41</v>
      </c>
      <c r="B66" s="5" t="s">
        <v>17</v>
      </c>
      <c r="C66" s="11" t="s">
        <v>17</v>
      </c>
      <c r="D66" s="5" t="s">
        <v>17</v>
      </c>
      <c r="E66" s="17">
        <v>1753.11</v>
      </c>
      <c r="F66" s="33" t="s">
        <v>10</v>
      </c>
      <c r="G66" s="34" t="s">
        <v>121</v>
      </c>
    </row>
    <row r="67" spans="1:9" x14ac:dyDescent="0.2">
      <c r="A67" s="11">
        <v>42</v>
      </c>
      <c r="B67" s="5" t="s">
        <v>17</v>
      </c>
      <c r="C67" s="11" t="s">
        <v>17</v>
      </c>
      <c r="D67" s="5" t="s">
        <v>17</v>
      </c>
      <c r="E67" s="8">
        <v>21522.29</v>
      </c>
      <c r="F67" s="5" t="s">
        <v>10</v>
      </c>
      <c r="G67" s="2" t="s">
        <v>122</v>
      </c>
    </row>
    <row r="68" spans="1:9" x14ac:dyDescent="0.2">
      <c r="A68" s="11">
        <v>43</v>
      </c>
      <c r="B68" s="5" t="s">
        <v>17</v>
      </c>
      <c r="C68" s="11" t="s">
        <v>17</v>
      </c>
      <c r="D68" s="5" t="s">
        <v>17</v>
      </c>
      <c r="E68" s="8">
        <f>560+560</f>
        <v>1120</v>
      </c>
      <c r="F68" s="5" t="s">
        <v>10</v>
      </c>
      <c r="G68" s="2" t="s">
        <v>123</v>
      </c>
    </row>
    <row r="69" spans="1:9" x14ac:dyDescent="0.2">
      <c r="A69" s="11">
        <v>44</v>
      </c>
      <c r="B69" s="5" t="s">
        <v>636</v>
      </c>
      <c r="C69" s="11">
        <v>39135989747</v>
      </c>
      <c r="D69" s="5" t="s">
        <v>638</v>
      </c>
      <c r="E69" s="8">
        <f>180.25+484.9</f>
        <v>665.15</v>
      </c>
      <c r="F69" s="5" t="s">
        <v>10</v>
      </c>
      <c r="G69" s="2" t="s">
        <v>637</v>
      </c>
    </row>
    <row r="70" spans="1:9" x14ac:dyDescent="0.2">
      <c r="A70" s="11">
        <v>45</v>
      </c>
      <c r="B70" s="5" t="s">
        <v>732</v>
      </c>
      <c r="C70" s="11">
        <v>80972836106</v>
      </c>
      <c r="D70" s="5" t="s">
        <v>733</v>
      </c>
      <c r="E70" s="8">
        <v>104.6</v>
      </c>
      <c r="F70" s="5" t="s">
        <v>10</v>
      </c>
      <c r="G70" s="2" t="s">
        <v>173</v>
      </c>
    </row>
    <row r="71" spans="1:9" x14ac:dyDescent="0.2">
      <c r="A71" s="11">
        <v>46</v>
      </c>
      <c r="B71" s="23" t="s">
        <v>131</v>
      </c>
      <c r="C71" s="24">
        <v>70133616033</v>
      </c>
      <c r="D71" s="23" t="s">
        <v>134</v>
      </c>
      <c r="E71" s="8">
        <v>17528.34</v>
      </c>
      <c r="F71" s="23" t="s">
        <v>10</v>
      </c>
      <c r="G71" s="2" t="s">
        <v>292</v>
      </c>
    </row>
    <row r="72" spans="1:9" x14ac:dyDescent="0.2">
      <c r="A72" s="11">
        <v>47</v>
      </c>
      <c r="B72" s="23" t="s">
        <v>132</v>
      </c>
      <c r="C72" s="24">
        <v>81793146560</v>
      </c>
      <c r="D72" s="23" t="s">
        <v>133</v>
      </c>
      <c r="E72" s="8">
        <v>1957.73</v>
      </c>
      <c r="F72" s="5" t="s">
        <v>10</v>
      </c>
      <c r="G72" s="2" t="s">
        <v>292</v>
      </c>
    </row>
    <row r="73" spans="1:9" x14ac:dyDescent="0.2">
      <c r="A73" s="11">
        <v>48</v>
      </c>
      <c r="B73" s="5" t="s">
        <v>734</v>
      </c>
      <c r="C73" s="11">
        <v>90091261503</v>
      </c>
      <c r="D73" s="5" t="s">
        <v>735</v>
      </c>
      <c r="E73" s="8">
        <v>163</v>
      </c>
      <c r="F73" s="5" t="s">
        <v>10</v>
      </c>
      <c r="G73" s="2" t="s">
        <v>173</v>
      </c>
      <c r="I73" s="13"/>
    </row>
    <row r="74" spans="1:9" x14ac:dyDescent="0.2">
      <c r="A74" s="11">
        <v>49</v>
      </c>
      <c r="B74" s="5" t="s">
        <v>136</v>
      </c>
      <c r="C74" s="11">
        <v>70467048139</v>
      </c>
      <c r="D74" s="5" t="s">
        <v>199</v>
      </c>
      <c r="E74" s="8">
        <v>28.96</v>
      </c>
      <c r="F74" s="5" t="s">
        <v>10</v>
      </c>
      <c r="G74" s="2" t="s">
        <v>112</v>
      </c>
    </row>
    <row r="75" spans="1:9" x14ac:dyDescent="0.2">
      <c r="A75" s="11">
        <v>50</v>
      </c>
      <c r="B75" s="5" t="s">
        <v>137</v>
      </c>
      <c r="C75" s="12" t="s">
        <v>200</v>
      </c>
      <c r="D75" s="5" t="s">
        <v>201</v>
      </c>
      <c r="E75" s="8">
        <v>140.24</v>
      </c>
      <c r="F75" s="5" t="s">
        <v>10</v>
      </c>
      <c r="G75" s="2" t="s">
        <v>112</v>
      </c>
    </row>
    <row r="76" spans="1:9" x14ac:dyDescent="0.2">
      <c r="A76" s="11">
        <v>51</v>
      </c>
      <c r="B76" s="5" t="s">
        <v>138</v>
      </c>
      <c r="C76" s="11">
        <v>46163832762</v>
      </c>
      <c r="D76" s="5" t="s">
        <v>202</v>
      </c>
      <c r="E76" s="8">
        <v>138.66</v>
      </c>
      <c r="F76" s="5" t="s">
        <v>10</v>
      </c>
      <c r="G76" s="2" t="s">
        <v>112</v>
      </c>
    </row>
    <row r="77" spans="1:9" x14ac:dyDescent="0.2">
      <c r="A77" s="11">
        <v>52</v>
      </c>
      <c r="B77" s="5" t="s">
        <v>140</v>
      </c>
      <c r="C77" s="11">
        <v>41412434130</v>
      </c>
      <c r="D77" s="5" t="s">
        <v>197</v>
      </c>
      <c r="E77" s="8">
        <v>71.98</v>
      </c>
      <c r="F77" s="5" t="s">
        <v>10</v>
      </c>
      <c r="G77" s="2" t="s">
        <v>112</v>
      </c>
    </row>
    <row r="78" spans="1:9" x14ac:dyDescent="0.2">
      <c r="A78" s="11">
        <v>53</v>
      </c>
      <c r="B78" s="5" t="s">
        <v>737</v>
      </c>
      <c r="C78" s="11">
        <v>60916661214</v>
      </c>
      <c r="D78" s="5" t="s">
        <v>736</v>
      </c>
      <c r="E78" s="8">
        <v>150.19999999999999</v>
      </c>
      <c r="F78" s="5" t="s">
        <v>10</v>
      </c>
      <c r="G78" s="2" t="s">
        <v>173</v>
      </c>
      <c r="I78" s="13"/>
    </row>
    <row r="79" spans="1:9" x14ac:dyDescent="0.2">
      <c r="A79" s="11">
        <v>54</v>
      </c>
      <c r="B79" s="5" t="s">
        <v>142</v>
      </c>
      <c r="C79" s="12" t="s">
        <v>203</v>
      </c>
      <c r="D79" s="5" t="s">
        <v>204</v>
      </c>
      <c r="E79" s="8">
        <v>302.7</v>
      </c>
      <c r="F79" s="5" t="s">
        <v>10</v>
      </c>
      <c r="G79" s="2" t="s">
        <v>112</v>
      </c>
    </row>
    <row r="80" spans="1:9" x14ac:dyDescent="0.2">
      <c r="A80" s="11">
        <v>55</v>
      </c>
      <c r="B80" s="5" t="s">
        <v>143</v>
      </c>
      <c r="C80" s="11">
        <v>85584865987</v>
      </c>
      <c r="D80" s="5" t="s">
        <v>205</v>
      </c>
      <c r="E80" s="8">
        <f>2488.25+128.9</f>
        <v>2617.15</v>
      </c>
      <c r="F80" s="5" t="s">
        <v>10</v>
      </c>
      <c r="G80" s="2" t="s">
        <v>112</v>
      </c>
    </row>
    <row r="81" spans="1:7" x14ac:dyDescent="0.2">
      <c r="A81" s="11">
        <v>56</v>
      </c>
      <c r="B81" s="5" t="s">
        <v>144</v>
      </c>
      <c r="C81" s="11" t="s">
        <v>740</v>
      </c>
      <c r="D81" s="5" t="s">
        <v>740</v>
      </c>
      <c r="E81" s="8">
        <v>672</v>
      </c>
      <c r="F81" s="5" t="s">
        <v>10</v>
      </c>
      <c r="G81" s="2" t="s">
        <v>145</v>
      </c>
    </row>
    <row r="82" spans="1:7" x14ac:dyDescent="0.2">
      <c r="A82" s="11">
        <v>57</v>
      </c>
      <c r="B82" s="5" t="s">
        <v>655</v>
      </c>
      <c r="C82" s="11" t="s">
        <v>657</v>
      </c>
      <c r="D82" s="5" t="s">
        <v>656</v>
      </c>
      <c r="E82" s="8">
        <v>242.54</v>
      </c>
      <c r="F82" s="5" t="s">
        <v>10</v>
      </c>
      <c r="G82" s="2" t="s">
        <v>23</v>
      </c>
    </row>
    <row r="83" spans="1:7" x14ac:dyDescent="0.2">
      <c r="A83" s="11">
        <v>58</v>
      </c>
      <c r="B83" s="5" t="s">
        <v>680</v>
      </c>
      <c r="C83" s="11">
        <v>82510351433</v>
      </c>
      <c r="D83" s="5" t="s">
        <v>681</v>
      </c>
      <c r="E83" s="8">
        <v>403.51</v>
      </c>
      <c r="F83" s="5" t="s">
        <v>10</v>
      </c>
      <c r="G83" s="2" t="s">
        <v>23</v>
      </c>
    </row>
    <row r="84" spans="1:7" x14ac:dyDescent="0.2">
      <c r="A84" s="11">
        <v>59</v>
      </c>
      <c r="B84" s="5" t="s">
        <v>663</v>
      </c>
      <c r="C84" s="11">
        <v>42211007051</v>
      </c>
      <c r="D84" s="5" t="s">
        <v>664</v>
      </c>
      <c r="E84" s="8">
        <v>1150.1600000000001</v>
      </c>
      <c r="F84" s="5" t="s">
        <v>10</v>
      </c>
      <c r="G84" s="2" t="s">
        <v>287</v>
      </c>
    </row>
    <row r="85" spans="1:7" x14ac:dyDescent="0.2">
      <c r="A85" s="11">
        <v>60</v>
      </c>
      <c r="B85" s="5" t="s">
        <v>738</v>
      </c>
      <c r="C85" s="11">
        <v>77170927797</v>
      </c>
      <c r="D85" s="5" t="s">
        <v>739</v>
      </c>
      <c r="E85" s="8">
        <v>182.6</v>
      </c>
      <c r="F85" s="5" t="s">
        <v>10</v>
      </c>
      <c r="G85" s="2" t="s">
        <v>23</v>
      </c>
    </row>
    <row r="86" spans="1:7" x14ac:dyDescent="0.2">
      <c r="A86" s="11">
        <v>61</v>
      </c>
      <c r="B86" s="5" t="s">
        <v>698</v>
      </c>
      <c r="C86" s="11">
        <v>41921055528</v>
      </c>
      <c r="D86" s="5" t="s">
        <v>699</v>
      </c>
      <c r="E86" s="8">
        <v>414</v>
      </c>
      <c r="F86" s="5" t="s">
        <v>10</v>
      </c>
      <c r="G86" s="2" t="s">
        <v>147</v>
      </c>
    </row>
    <row r="87" spans="1:7" x14ac:dyDescent="0.2">
      <c r="A87" s="11">
        <v>62</v>
      </c>
      <c r="B87" s="5" t="s">
        <v>741</v>
      </c>
      <c r="C87" s="12" t="s">
        <v>743</v>
      </c>
      <c r="D87" s="5" t="s">
        <v>742</v>
      </c>
      <c r="E87" s="8">
        <v>322.5</v>
      </c>
      <c r="F87" s="5" t="s">
        <v>10</v>
      </c>
      <c r="G87" s="2" t="s">
        <v>505</v>
      </c>
    </row>
    <row r="88" spans="1:7" x14ac:dyDescent="0.2">
      <c r="A88" s="11">
        <v>63</v>
      </c>
      <c r="B88" s="5" t="s">
        <v>700</v>
      </c>
      <c r="C88" s="11">
        <v>61876916009</v>
      </c>
      <c r="D88" s="5" t="s">
        <v>701</v>
      </c>
      <c r="E88" s="8">
        <v>1025</v>
      </c>
      <c r="F88" s="5" t="s">
        <v>10</v>
      </c>
      <c r="G88" s="2" t="s">
        <v>23</v>
      </c>
    </row>
    <row r="89" spans="1:7" x14ac:dyDescent="0.2">
      <c r="A89" s="11">
        <v>64</v>
      </c>
      <c r="B89" s="5" t="s">
        <v>155</v>
      </c>
      <c r="C89" s="11">
        <v>55326209639</v>
      </c>
      <c r="D89" s="5" t="s">
        <v>214</v>
      </c>
      <c r="E89" s="8">
        <v>224</v>
      </c>
      <c r="F89" s="5" t="s">
        <v>10</v>
      </c>
      <c r="G89" s="2" t="s">
        <v>23</v>
      </c>
    </row>
    <row r="90" spans="1:7" x14ac:dyDescent="0.2">
      <c r="A90" s="11">
        <v>65</v>
      </c>
      <c r="B90" s="5" t="s">
        <v>156</v>
      </c>
      <c r="C90" s="11">
        <v>51645411160</v>
      </c>
      <c r="D90" s="5" t="s">
        <v>215</v>
      </c>
      <c r="E90" s="8">
        <v>117.94</v>
      </c>
      <c r="F90" s="5" t="s">
        <v>10</v>
      </c>
      <c r="G90" s="2" t="s">
        <v>23</v>
      </c>
    </row>
    <row r="91" spans="1:7" x14ac:dyDescent="0.2">
      <c r="A91" s="11">
        <v>66</v>
      </c>
      <c r="B91" s="5" t="s">
        <v>157</v>
      </c>
      <c r="C91" s="11" t="s">
        <v>216</v>
      </c>
      <c r="D91" s="5" t="s">
        <v>158</v>
      </c>
      <c r="E91" s="8">
        <v>40529</v>
      </c>
      <c r="F91" s="5" t="s">
        <v>10</v>
      </c>
      <c r="G91" s="2" t="s">
        <v>23</v>
      </c>
    </row>
    <row r="92" spans="1:7" x14ac:dyDescent="0.2">
      <c r="A92" s="11">
        <v>67</v>
      </c>
      <c r="B92" s="5" t="s">
        <v>159</v>
      </c>
      <c r="C92" s="11">
        <v>64862538713</v>
      </c>
      <c r="D92" s="5" t="s">
        <v>217</v>
      </c>
      <c r="E92" s="8">
        <v>532.25</v>
      </c>
      <c r="F92" s="5" t="s">
        <v>10</v>
      </c>
      <c r="G92" s="2" t="s">
        <v>23</v>
      </c>
    </row>
    <row r="93" spans="1:7" x14ac:dyDescent="0.2">
      <c r="A93" s="11">
        <v>68</v>
      </c>
      <c r="B93" s="5" t="s">
        <v>706</v>
      </c>
      <c r="C93" s="11" t="s">
        <v>708</v>
      </c>
      <c r="D93" s="5" t="s">
        <v>707</v>
      </c>
      <c r="E93" s="8">
        <v>9332.32</v>
      </c>
      <c r="F93" s="5" t="s">
        <v>10</v>
      </c>
      <c r="G93" s="2" t="s">
        <v>23</v>
      </c>
    </row>
    <row r="94" spans="1:7" x14ac:dyDescent="0.2">
      <c r="A94" s="11">
        <v>69</v>
      </c>
      <c r="B94" s="5" t="s">
        <v>162</v>
      </c>
      <c r="C94" s="11">
        <v>58353015102</v>
      </c>
      <c r="D94" s="5" t="s">
        <v>219</v>
      </c>
      <c r="E94" s="8">
        <v>404.13</v>
      </c>
      <c r="F94" s="5" t="s">
        <v>10</v>
      </c>
      <c r="G94" s="2" t="s">
        <v>23</v>
      </c>
    </row>
    <row r="95" spans="1:7" x14ac:dyDescent="0.2">
      <c r="A95" s="11">
        <v>70</v>
      </c>
      <c r="B95" s="5" t="s">
        <v>702</v>
      </c>
      <c r="C95" s="11">
        <v>92015218503</v>
      </c>
      <c r="D95" s="5" t="s">
        <v>703</v>
      </c>
      <c r="E95" s="8">
        <v>75.62</v>
      </c>
      <c r="F95" s="5" t="s">
        <v>10</v>
      </c>
      <c r="G95" s="2" t="s">
        <v>330</v>
      </c>
    </row>
    <row r="96" spans="1:7" x14ac:dyDescent="0.2">
      <c r="A96" s="11">
        <v>71</v>
      </c>
      <c r="B96" s="5" t="s">
        <v>704</v>
      </c>
      <c r="C96" s="11">
        <v>11294943436</v>
      </c>
      <c r="D96" s="5" t="s">
        <v>705</v>
      </c>
      <c r="E96" s="8">
        <v>76.53</v>
      </c>
      <c r="F96" s="5" t="s">
        <v>10</v>
      </c>
      <c r="G96" s="2" t="s">
        <v>112</v>
      </c>
    </row>
    <row r="97" spans="1:9" x14ac:dyDescent="0.2">
      <c r="A97" s="11">
        <v>72</v>
      </c>
      <c r="B97" s="5" t="s">
        <v>165</v>
      </c>
      <c r="C97" s="11">
        <v>62534176727</v>
      </c>
      <c r="D97" s="5" t="s">
        <v>222</v>
      </c>
      <c r="E97" s="8">
        <v>9854.25</v>
      </c>
      <c r="F97" s="5" t="s">
        <v>10</v>
      </c>
      <c r="G97" s="2" t="s">
        <v>23</v>
      </c>
    </row>
    <row r="98" spans="1:9" ht="12.75" thickBot="1" x14ac:dyDescent="0.25">
      <c r="A98" s="11">
        <v>73</v>
      </c>
      <c r="B98" s="5" t="s">
        <v>658</v>
      </c>
      <c r="C98" s="11">
        <v>24846301629</v>
      </c>
      <c r="D98" s="5" t="s">
        <v>659</v>
      </c>
      <c r="E98" s="15">
        <v>96.8</v>
      </c>
      <c r="F98" s="19" t="s">
        <v>10</v>
      </c>
      <c r="G98" s="28" t="s">
        <v>23</v>
      </c>
    </row>
    <row r="99" spans="1:9" x14ac:dyDescent="0.2">
      <c r="A99" s="67">
        <v>74</v>
      </c>
      <c r="B99" s="65" t="s">
        <v>168</v>
      </c>
      <c r="C99" s="67">
        <v>87682591133</v>
      </c>
      <c r="D99" s="65" t="s">
        <v>223</v>
      </c>
      <c r="E99" s="16">
        <v>83766.899999999994</v>
      </c>
      <c r="F99" s="82" t="s">
        <v>10</v>
      </c>
      <c r="G99" s="31" t="s">
        <v>23</v>
      </c>
      <c r="I99" s="13"/>
    </row>
    <row r="100" spans="1:9" ht="12.75" thickBot="1" x14ac:dyDescent="0.25">
      <c r="A100" s="68"/>
      <c r="B100" s="66"/>
      <c r="C100" s="68"/>
      <c r="D100" s="66"/>
      <c r="E100" s="18">
        <v>2850.51</v>
      </c>
      <c r="F100" s="83"/>
      <c r="G100" s="32" t="s">
        <v>130</v>
      </c>
    </row>
    <row r="101" spans="1:9" x14ac:dyDescent="0.2">
      <c r="A101" s="11">
        <v>75</v>
      </c>
      <c r="B101" s="5" t="s">
        <v>169</v>
      </c>
      <c r="C101" s="11">
        <v>19849957757</v>
      </c>
      <c r="D101" s="5" t="s">
        <v>225</v>
      </c>
      <c r="E101" s="17">
        <v>35321.949999999997</v>
      </c>
      <c r="F101" s="33" t="s">
        <v>10</v>
      </c>
      <c r="G101" s="34" t="s">
        <v>23</v>
      </c>
    </row>
    <row r="102" spans="1:9" x14ac:dyDescent="0.2">
      <c r="A102" s="11">
        <v>76</v>
      </c>
      <c r="B102" s="5" t="s">
        <v>170</v>
      </c>
      <c r="C102" s="11">
        <v>52233171260</v>
      </c>
      <c r="D102" s="5" t="s">
        <v>224</v>
      </c>
      <c r="E102" s="8">
        <v>13029.09</v>
      </c>
      <c r="F102" s="5" t="s">
        <v>10</v>
      </c>
      <c r="G102" s="2" t="s">
        <v>23</v>
      </c>
    </row>
    <row r="103" spans="1:9" x14ac:dyDescent="0.2">
      <c r="A103" s="11">
        <v>77</v>
      </c>
      <c r="B103" s="27" t="s">
        <v>172</v>
      </c>
      <c r="C103" s="26">
        <v>80572192786</v>
      </c>
      <c r="D103" s="27" t="s">
        <v>226</v>
      </c>
      <c r="E103" s="8">
        <v>5625</v>
      </c>
      <c r="F103" s="27" t="s">
        <v>10</v>
      </c>
      <c r="G103" s="2" t="s">
        <v>147</v>
      </c>
    </row>
    <row r="104" spans="1:9" x14ac:dyDescent="0.2">
      <c r="A104" s="11">
        <v>78</v>
      </c>
      <c r="B104" s="5" t="s">
        <v>174</v>
      </c>
      <c r="C104" s="11">
        <v>79517545745</v>
      </c>
      <c r="D104" s="5" t="s">
        <v>227</v>
      </c>
      <c r="E104" s="8">
        <v>50.09</v>
      </c>
      <c r="F104" s="5" t="s">
        <v>10</v>
      </c>
      <c r="G104" s="2" t="s">
        <v>176</v>
      </c>
    </row>
    <row r="105" spans="1:9" x14ac:dyDescent="0.2">
      <c r="A105" s="11">
        <v>79</v>
      </c>
      <c r="B105" s="5" t="s">
        <v>744</v>
      </c>
      <c r="C105" s="11">
        <v>21737245998</v>
      </c>
      <c r="D105" s="5" t="s">
        <v>745</v>
      </c>
      <c r="E105" s="8">
        <v>3240</v>
      </c>
      <c r="F105" s="5" t="s">
        <v>10</v>
      </c>
      <c r="G105" s="2" t="s">
        <v>23</v>
      </c>
    </row>
    <row r="106" spans="1:9" x14ac:dyDescent="0.2">
      <c r="A106" s="11">
        <v>80</v>
      </c>
      <c r="B106" s="5" t="s">
        <v>17</v>
      </c>
      <c r="C106" s="11" t="s">
        <v>17</v>
      </c>
      <c r="D106" s="5" t="s">
        <v>17</v>
      </c>
      <c r="E106" s="8">
        <v>1400</v>
      </c>
      <c r="F106" s="5" t="s">
        <v>10</v>
      </c>
      <c r="G106" s="2" t="s">
        <v>177</v>
      </c>
    </row>
    <row r="107" spans="1:9" x14ac:dyDescent="0.2">
      <c r="A107" s="11">
        <v>81</v>
      </c>
      <c r="B107" s="5" t="s">
        <v>17</v>
      </c>
      <c r="C107" s="11" t="s">
        <v>17</v>
      </c>
      <c r="D107" s="5" t="s">
        <v>17</v>
      </c>
      <c r="E107" s="8">
        <v>1449.44</v>
      </c>
      <c r="F107" s="5" t="s">
        <v>10</v>
      </c>
      <c r="G107" s="2" t="s">
        <v>178</v>
      </c>
    </row>
    <row r="108" spans="1:9" x14ac:dyDescent="0.2">
      <c r="A108" s="11">
        <v>82</v>
      </c>
      <c r="B108" s="5" t="s">
        <v>180</v>
      </c>
      <c r="C108" s="11">
        <v>87311810356</v>
      </c>
      <c r="D108" s="5" t="s">
        <v>229</v>
      </c>
      <c r="E108" s="8">
        <v>316.18</v>
      </c>
      <c r="F108" s="5" t="s">
        <v>10</v>
      </c>
      <c r="G108" s="2" t="s">
        <v>179</v>
      </c>
    </row>
    <row r="109" spans="1:9" ht="12.75" thickBot="1" x14ac:dyDescent="0.25">
      <c r="A109" s="11">
        <v>83</v>
      </c>
      <c r="B109" s="5" t="s">
        <v>230</v>
      </c>
      <c r="C109" s="11">
        <v>62969535840</v>
      </c>
      <c r="D109" s="5" t="s">
        <v>231</v>
      </c>
      <c r="E109" s="15">
        <v>267.79000000000002</v>
      </c>
      <c r="F109" s="19" t="s">
        <v>10</v>
      </c>
      <c r="G109" s="28" t="s">
        <v>23</v>
      </c>
    </row>
    <row r="110" spans="1:9" x14ac:dyDescent="0.2">
      <c r="A110" s="67">
        <v>84</v>
      </c>
      <c r="B110" s="65" t="s">
        <v>181</v>
      </c>
      <c r="C110" s="67">
        <v>71642207963</v>
      </c>
      <c r="D110" s="65" t="s">
        <v>232</v>
      </c>
      <c r="E110" s="16">
        <f>1061.46</f>
        <v>1061.46</v>
      </c>
      <c r="F110" s="82" t="s">
        <v>10</v>
      </c>
      <c r="G110" s="31" t="s">
        <v>23</v>
      </c>
    </row>
    <row r="111" spans="1:9" ht="12.75" thickBot="1" x14ac:dyDescent="0.25">
      <c r="A111" s="68"/>
      <c r="B111" s="66"/>
      <c r="C111" s="68"/>
      <c r="D111" s="66"/>
      <c r="E111" s="18">
        <v>62.74</v>
      </c>
      <c r="F111" s="83"/>
      <c r="G111" s="32" t="s">
        <v>287</v>
      </c>
    </row>
    <row r="112" spans="1:9" x14ac:dyDescent="0.2">
      <c r="A112" s="11">
        <v>85</v>
      </c>
      <c r="B112" s="5" t="s">
        <v>182</v>
      </c>
      <c r="C112" s="12" t="s">
        <v>234</v>
      </c>
      <c r="D112" s="5" t="s">
        <v>233</v>
      </c>
      <c r="E112" s="17">
        <v>505.68</v>
      </c>
      <c r="F112" s="33" t="s">
        <v>10</v>
      </c>
      <c r="G112" s="34" t="s">
        <v>23</v>
      </c>
    </row>
    <row r="113" spans="1:9" x14ac:dyDescent="0.2">
      <c r="A113" s="11">
        <v>86</v>
      </c>
      <c r="B113" s="5" t="s">
        <v>676</v>
      </c>
      <c r="C113" s="11" t="s">
        <v>677</v>
      </c>
      <c r="D113" s="5" t="s">
        <v>678</v>
      </c>
      <c r="E113" s="8">
        <v>162.30000000000001</v>
      </c>
      <c r="F113" s="5" t="s">
        <v>10</v>
      </c>
      <c r="G113" s="2" t="s">
        <v>23</v>
      </c>
    </row>
    <row r="114" spans="1:9" x14ac:dyDescent="0.2">
      <c r="A114" s="11">
        <v>87</v>
      </c>
      <c r="B114" s="5" t="s">
        <v>671</v>
      </c>
      <c r="C114" s="11" t="s">
        <v>673</v>
      </c>
      <c r="D114" s="5" t="s">
        <v>672</v>
      </c>
      <c r="E114" s="8">
        <v>2397.33</v>
      </c>
      <c r="F114" s="5" t="s">
        <v>10</v>
      </c>
      <c r="G114" s="2" t="s">
        <v>23</v>
      </c>
    </row>
    <row r="115" spans="1:9" x14ac:dyDescent="0.2">
      <c r="A115" s="11">
        <v>88</v>
      </c>
      <c r="B115" s="5" t="s">
        <v>185</v>
      </c>
      <c r="C115" s="11">
        <v>52848403362</v>
      </c>
      <c r="D115" s="5" t="s">
        <v>237</v>
      </c>
      <c r="E115" s="8">
        <v>1899</v>
      </c>
      <c r="F115" s="5" t="s">
        <v>10</v>
      </c>
      <c r="G115" s="2" t="s">
        <v>186</v>
      </c>
    </row>
    <row r="116" spans="1:9" x14ac:dyDescent="0.2">
      <c r="A116" s="11">
        <v>89</v>
      </c>
      <c r="B116" s="5" t="s">
        <v>187</v>
      </c>
      <c r="C116" s="11">
        <v>22694857747</v>
      </c>
      <c r="D116" s="5" t="s">
        <v>239</v>
      </c>
      <c r="E116" s="8">
        <v>101.84</v>
      </c>
      <c r="F116" s="5" t="s">
        <v>10</v>
      </c>
      <c r="G116" s="2" t="s">
        <v>188</v>
      </c>
    </row>
    <row r="117" spans="1:9" ht="12.75" thickBot="1" x14ac:dyDescent="0.25">
      <c r="A117" s="11">
        <v>90</v>
      </c>
      <c r="B117" s="5" t="s">
        <v>641</v>
      </c>
      <c r="C117" s="11">
        <v>60690477713</v>
      </c>
      <c r="D117" s="5" t="s">
        <v>520</v>
      </c>
      <c r="E117" s="15">
        <v>3337.77</v>
      </c>
      <c r="F117" s="19" t="s">
        <v>10</v>
      </c>
      <c r="G117" s="28" t="s">
        <v>23</v>
      </c>
    </row>
    <row r="118" spans="1:9" x14ac:dyDescent="0.2">
      <c r="A118" s="67">
        <v>91</v>
      </c>
      <c r="B118" s="65" t="s">
        <v>191</v>
      </c>
      <c r="C118" s="67">
        <v>34421776805</v>
      </c>
      <c r="D118" s="65" t="s">
        <v>240</v>
      </c>
      <c r="E118" s="16">
        <v>1071.25</v>
      </c>
      <c r="F118" s="82" t="s">
        <v>10</v>
      </c>
      <c r="G118" s="31" t="s">
        <v>192</v>
      </c>
    </row>
    <row r="119" spans="1:9" ht="12.75" thickBot="1" x14ac:dyDescent="0.25">
      <c r="A119" s="68"/>
      <c r="B119" s="66"/>
      <c r="C119" s="68"/>
      <c r="D119" s="66"/>
      <c r="E119" s="18">
        <v>2774.11</v>
      </c>
      <c r="F119" s="83"/>
      <c r="G119" s="32" t="s">
        <v>23</v>
      </c>
    </row>
    <row r="120" spans="1:9" x14ac:dyDescent="0.2">
      <c r="A120" s="11">
        <v>92</v>
      </c>
      <c r="B120" s="5" t="s">
        <v>17</v>
      </c>
      <c r="C120" s="11" t="s">
        <v>17</v>
      </c>
      <c r="D120" s="5" t="s">
        <v>17</v>
      </c>
      <c r="E120" s="17">
        <v>42.48</v>
      </c>
      <c r="F120" s="33" t="s">
        <v>10</v>
      </c>
      <c r="G120" s="34" t="s">
        <v>635</v>
      </c>
    </row>
    <row r="121" spans="1:9" x14ac:dyDescent="0.2">
      <c r="A121" s="11">
        <v>93</v>
      </c>
      <c r="B121" s="5" t="s">
        <v>17</v>
      </c>
      <c r="C121" s="11" t="s">
        <v>17</v>
      </c>
      <c r="D121" s="5" t="s">
        <v>17</v>
      </c>
      <c r="E121" s="8">
        <v>413.44</v>
      </c>
      <c r="F121" s="5" t="s">
        <v>10</v>
      </c>
      <c r="G121" s="2" t="s">
        <v>194</v>
      </c>
    </row>
    <row r="122" spans="1:9" x14ac:dyDescent="0.2">
      <c r="A122" s="11">
        <v>94</v>
      </c>
      <c r="B122" s="5" t="s">
        <v>195</v>
      </c>
      <c r="C122" s="11">
        <v>85621555748</v>
      </c>
      <c r="D122" s="5" t="s">
        <v>241</v>
      </c>
      <c r="E122" s="8">
        <v>232.2</v>
      </c>
      <c r="F122" s="5" t="s">
        <v>10</v>
      </c>
      <c r="G122" s="2" t="s">
        <v>173</v>
      </c>
    </row>
    <row r="123" spans="1:9" x14ac:dyDescent="0.2">
      <c r="A123" s="11">
        <v>95</v>
      </c>
      <c r="B123" s="5" t="s">
        <v>748</v>
      </c>
      <c r="C123" s="11">
        <v>42826255368</v>
      </c>
      <c r="D123" s="5" t="s">
        <v>749</v>
      </c>
      <c r="E123" s="8">
        <v>2912.5</v>
      </c>
      <c r="F123" s="5" t="s">
        <v>10</v>
      </c>
      <c r="G123" s="2" t="s">
        <v>23</v>
      </c>
    </row>
    <row r="124" spans="1:9" x14ac:dyDescent="0.2">
      <c r="A124" s="11">
        <v>96</v>
      </c>
      <c r="B124" s="5" t="s">
        <v>242</v>
      </c>
      <c r="C124" s="11">
        <v>49800593791</v>
      </c>
      <c r="D124" s="5" t="s">
        <v>244</v>
      </c>
      <c r="E124" s="8">
        <v>10060.85</v>
      </c>
      <c r="F124" s="5" t="s">
        <v>10</v>
      </c>
      <c r="G124" s="2" t="s">
        <v>243</v>
      </c>
    </row>
    <row r="125" spans="1:9" ht="12.75" thickBot="1" x14ac:dyDescent="0.25">
      <c r="A125" s="11">
        <v>97</v>
      </c>
      <c r="B125" s="5" t="s">
        <v>245</v>
      </c>
      <c r="C125" s="11">
        <v>48491501393</v>
      </c>
      <c r="D125" s="5" t="s">
        <v>246</v>
      </c>
      <c r="E125" s="15">
        <v>1410.19</v>
      </c>
      <c r="F125" s="19" t="s">
        <v>10</v>
      </c>
      <c r="G125" s="28" t="s">
        <v>23</v>
      </c>
      <c r="H125" s="13"/>
    </row>
    <row r="126" spans="1:9" x14ac:dyDescent="0.2">
      <c r="A126" s="67">
        <v>98</v>
      </c>
      <c r="B126" s="65" t="s">
        <v>248</v>
      </c>
      <c r="C126" s="67">
        <v>47428597158</v>
      </c>
      <c r="D126" s="65" t="s">
        <v>250</v>
      </c>
      <c r="E126" s="16">
        <v>2156.16</v>
      </c>
      <c r="F126" s="82" t="s">
        <v>10</v>
      </c>
      <c r="G126" s="31" t="s">
        <v>23</v>
      </c>
      <c r="I126" s="13"/>
    </row>
    <row r="127" spans="1:9" ht="12.75" thickBot="1" x14ac:dyDescent="0.25">
      <c r="A127" s="68"/>
      <c r="B127" s="66"/>
      <c r="C127" s="68"/>
      <c r="D127" s="66"/>
      <c r="E127" s="18">
        <v>1199.57</v>
      </c>
      <c r="F127" s="83"/>
      <c r="G127" s="32" t="s">
        <v>247</v>
      </c>
    </row>
    <row r="128" spans="1:9" x14ac:dyDescent="0.2">
      <c r="A128" s="11">
        <v>99</v>
      </c>
      <c r="B128" s="5" t="s">
        <v>249</v>
      </c>
      <c r="C128" s="11">
        <v>26004523816</v>
      </c>
      <c r="D128" s="5" t="s">
        <v>251</v>
      </c>
      <c r="E128" s="17">
        <v>1450.98</v>
      </c>
      <c r="F128" s="33" t="s">
        <v>10</v>
      </c>
      <c r="G128" s="34" t="s">
        <v>23</v>
      </c>
    </row>
    <row r="129" spans="1:9" x14ac:dyDescent="0.2">
      <c r="A129" s="11">
        <v>100</v>
      </c>
      <c r="B129" s="5" t="s">
        <v>252</v>
      </c>
      <c r="C129" s="12" t="s">
        <v>254</v>
      </c>
      <c r="D129" s="5" t="s">
        <v>253</v>
      </c>
      <c r="E129" s="8">
        <f>27.59+316.75+50.07+3.77</f>
        <v>398.17999999999995</v>
      </c>
      <c r="F129" s="5" t="s">
        <v>10</v>
      </c>
      <c r="G129" s="2" t="s">
        <v>112</v>
      </c>
    </row>
    <row r="130" spans="1:9" x14ac:dyDescent="0.2">
      <c r="A130" s="11">
        <v>101</v>
      </c>
      <c r="B130" s="5" t="s">
        <v>752</v>
      </c>
      <c r="C130" s="12" t="s">
        <v>750</v>
      </c>
      <c r="D130" s="5" t="s">
        <v>751</v>
      </c>
      <c r="E130" s="8">
        <v>91.24</v>
      </c>
      <c r="F130" s="5" t="s">
        <v>10</v>
      </c>
      <c r="G130" s="2" t="s">
        <v>330</v>
      </c>
    </row>
    <row r="131" spans="1:9" x14ac:dyDescent="0.2">
      <c r="A131" s="11">
        <v>102</v>
      </c>
      <c r="B131" s="5" t="s">
        <v>257</v>
      </c>
      <c r="C131" s="11">
        <v>25392808959</v>
      </c>
      <c r="D131" s="5" t="s">
        <v>258</v>
      </c>
      <c r="E131" s="8">
        <v>15905.64</v>
      </c>
      <c r="F131" s="5" t="s">
        <v>10</v>
      </c>
      <c r="G131" s="2" t="s">
        <v>23</v>
      </c>
      <c r="I131" s="13"/>
    </row>
    <row r="132" spans="1:9" x14ac:dyDescent="0.2">
      <c r="A132" s="11">
        <v>103</v>
      </c>
      <c r="B132" s="5" t="s">
        <v>753</v>
      </c>
      <c r="C132" s="11">
        <v>93475459627</v>
      </c>
      <c r="D132" s="5" t="s">
        <v>754</v>
      </c>
      <c r="E132" s="8">
        <v>115.3</v>
      </c>
      <c r="F132" s="5" t="s">
        <v>10</v>
      </c>
      <c r="G132" s="2" t="s">
        <v>23</v>
      </c>
    </row>
    <row r="133" spans="1:9" x14ac:dyDescent="0.2">
      <c r="A133" s="11">
        <v>104</v>
      </c>
      <c r="B133" s="5" t="s">
        <v>755</v>
      </c>
      <c r="C133" s="11">
        <v>44270699963</v>
      </c>
      <c r="D133" s="5" t="s">
        <v>756</v>
      </c>
      <c r="E133" s="8">
        <v>29.7</v>
      </c>
      <c r="F133" s="5" t="s">
        <v>10</v>
      </c>
      <c r="G133" s="2" t="s">
        <v>112</v>
      </c>
    </row>
    <row r="134" spans="1:9" x14ac:dyDescent="0.2">
      <c r="A134" s="11">
        <v>105</v>
      </c>
      <c r="B134" s="5" t="s">
        <v>616</v>
      </c>
      <c r="C134" s="12" t="s">
        <v>617</v>
      </c>
      <c r="D134" s="5" t="s">
        <v>618</v>
      </c>
      <c r="E134" s="8">
        <v>6.9</v>
      </c>
      <c r="F134" s="5" t="s">
        <v>10</v>
      </c>
      <c r="G134" s="2" t="s">
        <v>23</v>
      </c>
    </row>
    <row r="135" spans="1:9" x14ac:dyDescent="0.2">
      <c r="A135" s="11">
        <v>106</v>
      </c>
      <c r="B135" s="5" t="s">
        <v>757</v>
      </c>
      <c r="C135" s="11">
        <v>62832526505</v>
      </c>
      <c r="D135" s="5" t="s">
        <v>758</v>
      </c>
      <c r="E135" s="8">
        <v>6558.8</v>
      </c>
      <c r="F135" s="5" t="s">
        <v>10</v>
      </c>
      <c r="G135" s="2" t="s">
        <v>260</v>
      </c>
    </row>
    <row r="136" spans="1:9" x14ac:dyDescent="0.2">
      <c r="A136" s="11">
        <v>107</v>
      </c>
      <c r="B136" s="5" t="s">
        <v>802</v>
      </c>
      <c r="C136" s="11">
        <v>76025987753</v>
      </c>
      <c r="D136" s="5" t="s">
        <v>803</v>
      </c>
      <c r="E136" s="8">
        <v>2080</v>
      </c>
      <c r="F136" s="5" t="s">
        <v>10</v>
      </c>
      <c r="G136" s="2" t="s">
        <v>23</v>
      </c>
      <c r="H136" s="13"/>
    </row>
    <row r="137" spans="1:9" x14ac:dyDescent="0.2">
      <c r="A137" s="11">
        <v>108</v>
      </c>
      <c r="B137" s="5" t="s">
        <v>804</v>
      </c>
      <c r="C137" s="11">
        <v>31190261041</v>
      </c>
      <c r="D137" s="5" t="s">
        <v>805</v>
      </c>
      <c r="E137" s="8">
        <v>161.63</v>
      </c>
      <c r="F137" s="5" t="s">
        <v>10</v>
      </c>
      <c r="G137" s="2" t="s">
        <v>23</v>
      </c>
    </row>
    <row r="138" spans="1:9" x14ac:dyDescent="0.2">
      <c r="A138" s="11">
        <v>109</v>
      </c>
      <c r="B138" s="5" t="s">
        <v>265</v>
      </c>
      <c r="C138" s="11">
        <v>63988426425</v>
      </c>
      <c r="D138" s="5" t="s">
        <v>266</v>
      </c>
      <c r="E138" s="8">
        <v>43398.8</v>
      </c>
      <c r="F138" s="5" t="s">
        <v>10</v>
      </c>
      <c r="G138" s="2" t="s">
        <v>23</v>
      </c>
    </row>
    <row r="139" spans="1:9" x14ac:dyDescent="0.2">
      <c r="A139" s="11">
        <v>110</v>
      </c>
      <c r="B139" s="5" t="s">
        <v>267</v>
      </c>
      <c r="C139" s="12" t="s">
        <v>269</v>
      </c>
      <c r="D139" s="5" t="s">
        <v>268</v>
      </c>
      <c r="E139" s="8">
        <v>16325</v>
      </c>
      <c r="F139" s="5" t="s">
        <v>10</v>
      </c>
      <c r="G139" s="2" t="s">
        <v>23</v>
      </c>
    </row>
    <row r="140" spans="1:9" x14ac:dyDescent="0.2">
      <c r="A140" s="11">
        <v>111</v>
      </c>
      <c r="B140" s="5" t="s">
        <v>270</v>
      </c>
      <c r="C140" s="11">
        <v>31174430130</v>
      </c>
      <c r="D140" s="5" t="s">
        <v>271</v>
      </c>
      <c r="E140" s="8">
        <v>209.49</v>
      </c>
      <c r="F140" s="5" t="s">
        <v>10</v>
      </c>
      <c r="G140" s="2" t="s">
        <v>112</v>
      </c>
    </row>
    <row r="141" spans="1:9" x14ac:dyDescent="0.2">
      <c r="A141" s="11">
        <v>112</v>
      </c>
      <c r="B141" s="5" t="s">
        <v>272</v>
      </c>
      <c r="C141" s="11">
        <v>96514832734</v>
      </c>
      <c r="D141" s="5" t="s">
        <v>273</v>
      </c>
      <c r="E141" s="8">
        <v>5000</v>
      </c>
      <c r="F141" s="5" t="s">
        <v>10</v>
      </c>
      <c r="G141" s="2" t="s">
        <v>23</v>
      </c>
    </row>
    <row r="142" spans="1:9" x14ac:dyDescent="0.2">
      <c r="A142" s="11">
        <v>113</v>
      </c>
      <c r="B142" s="5" t="s">
        <v>809</v>
      </c>
      <c r="C142" s="11" t="s">
        <v>811</v>
      </c>
      <c r="D142" s="5" t="s">
        <v>810</v>
      </c>
      <c r="E142" s="8">
        <v>310</v>
      </c>
      <c r="F142" s="5" t="s">
        <v>10</v>
      </c>
      <c r="G142" s="2" t="s">
        <v>23</v>
      </c>
    </row>
    <row r="143" spans="1:9" x14ac:dyDescent="0.2">
      <c r="A143" s="11">
        <v>114</v>
      </c>
      <c r="B143" s="5" t="s">
        <v>276</v>
      </c>
      <c r="C143" s="11">
        <v>64546066176</v>
      </c>
      <c r="D143" s="5" t="s">
        <v>277</v>
      </c>
      <c r="E143" s="8">
        <v>1287.96</v>
      </c>
      <c r="F143" s="5" t="s">
        <v>10</v>
      </c>
      <c r="G143" s="2" t="s">
        <v>23</v>
      </c>
    </row>
    <row r="144" spans="1:9" x14ac:dyDescent="0.2">
      <c r="A144" s="11">
        <v>115</v>
      </c>
      <c r="B144" s="5" t="s">
        <v>806</v>
      </c>
      <c r="C144" s="11" t="s">
        <v>808</v>
      </c>
      <c r="D144" s="5" t="s">
        <v>807</v>
      </c>
      <c r="E144" s="8">
        <v>2040.4</v>
      </c>
      <c r="F144" s="5" t="s">
        <v>10</v>
      </c>
      <c r="G144" s="2" t="s">
        <v>23</v>
      </c>
    </row>
    <row r="145" spans="1:7" x14ac:dyDescent="0.2">
      <c r="A145" s="11">
        <v>116</v>
      </c>
      <c r="B145" s="5" t="s">
        <v>812</v>
      </c>
      <c r="C145" s="11">
        <v>93716144137</v>
      </c>
      <c r="D145" s="5" t="s">
        <v>813</v>
      </c>
      <c r="E145" s="8">
        <v>391.2</v>
      </c>
      <c r="F145" s="5" t="s">
        <v>10</v>
      </c>
      <c r="G145" s="2" t="s">
        <v>23</v>
      </c>
    </row>
    <row r="146" spans="1:7" x14ac:dyDescent="0.2">
      <c r="A146" s="11">
        <v>117</v>
      </c>
      <c r="B146" s="5" t="s">
        <v>814</v>
      </c>
      <c r="C146" s="11" t="s">
        <v>816</v>
      </c>
      <c r="D146" s="5" t="s">
        <v>815</v>
      </c>
      <c r="E146" s="8">
        <v>16950</v>
      </c>
      <c r="F146" s="5" t="s">
        <v>10</v>
      </c>
      <c r="G146" s="2" t="s">
        <v>23</v>
      </c>
    </row>
    <row r="147" spans="1:7" x14ac:dyDescent="0.2">
      <c r="A147" s="11">
        <v>118</v>
      </c>
      <c r="B147" s="5" t="s">
        <v>817</v>
      </c>
      <c r="C147" s="11">
        <v>41333730825</v>
      </c>
      <c r="D147" s="5" t="s">
        <v>818</v>
      </c>
      <c r="E147" s="8">
        <v>1215.6199999999999</v>
      </c>
      <c r="F147" s="5" t="s">
        <v>10</v>
      </c>
      <c r="G147" s="2" t="s">
        <v>23</v>
      </c>
    </row>
    <row r="148" spans="1:7" x14ac:dyDescent="0.2">
      <c r="A148" s="11">
        <v>119</v>
      </c>
      <c r="B148" s="5" t="s">
        <v>642</v>
      </c>
      <c r="C148" s="11">
        <v>84996591256</v>
      </c>
      <c r="D148" s="5" t="s">
        <v>643</v>
      </c>
      <c r="E148" s="8">
        <f>296.38+325.85</f>
        <v>622.23</v>
      </c>
      <c r="F148" s="5" t="s">
        <v>10</v>
      </c>
      <c r="G148" s="2" t="s">
        <v>23</v>
      </c>
    </row>
    <row r="149" spans="1:7" ht="12.75" thickBot="1" x14ac:dyDescent="0.25">
      <c r="A149" s="11">
        <v>120</v>
      </c>
      <c r="B149" s="5" t="s">
        <v>819</v>
      </c>
      <c r="C149" s="11">
        <v>30568370357</v>
      </c>
      <c r="D149" s="5" t="s">
        <v>820</v>
      </c>
      <c r="E149" s="15">
        <v>326.25</v>
      </c>
      <c r="F149" s="19" t="s">
        <v>10</v>
      </c>
      <c r="G149" s="28" t="s">
        <v>287</v>
      </c>
    </row>
    <row r="150" spans="1:7" x14ac:dyDescent="0.2">
      <c r="A150" s="67">
        <v>121</v>
      </c>
      <c r="B150" s="65" t="s">
        <v>293</v>
      </c>
      <c r="C150" s="67">
        <v>65952859647</v>
      </c>
      <c r="D150" s="65" t="s">
        <v>295</v>
      </c>
      <c r="E150" s="16">
        <v>8297.5</v>
      </c>
      <c r="F150" s="82" t="s">
        <v>10</v>
      </c>
      <c r="G150" s="31" t="s">
        <v>294</v>
      </c>
    </row>
    <row r="151" spans="1:7" ht="12.75" thickBot="1" x14ac:dyDescent="0.25">
      <c r="A151" s="68"/>
      <c r="B151" s="66"/>
      <c r="C151" s="68"/>
      <c r="D151" s="66"/>
      <c r="E151" s="18">
        <v>39913.75</v>
      </c>
      <c r="F151" s="83"/>
      <c r="G151" s="32" t="s">
        <v>23</v>
      </c>
    </row>
    <row r="152" spans="1:7" x14ac:dyDescent="0.2">
      <c r="A152" s="11">
        <v>122</v>
      </c>
      <c r="B152" s="5" t="s">
        <v>296</v>
      </c>
      <c r="C152" s="11">
        <v>83416546499</v>
      </c>
      <c r="D152" s="5" t="s">
        <v>299</v>
      </c>
      <c r="E152" s="17">
        <v>37.49</v>
      </c>
      <c r="F152" s="33" t="s">
        <v>10</v>
      </c>
      <c r="G152" s="34" t="s">
        <v>64</v>
      </c>
    </row>
    <row r="153" spans="1:7" x14ac:dyDescent="0.2">
      <c r="A153" s="11">
        <v>123</v>
      </c>
      <c r="B153" s="5" t="s">
        <v>297</v>
      </c>
      <c r="C153" s="11">
        <v>72836081238</v>
      </c>
      <c r="D153" s="5" t="s">
        <v>298</v>
      </c>
      <c r="E153" s="8">
        <v>32575</v>
      </c>
      <c r="F153" s="5" t="s">
        <v>10</v>
      </c>
      <c r="G153" s="2" t="s">
        <v>23</v>
      </c>
    </row>
    <row r="154" spans="1:7" x14ac:dyDescent="0.2">
      <c r="A154" s="11">
        <v>124</v>
      </c>
      <c r="B154" s="5" t="s">
        <v>17</v>
      </c>
      <c r="C154" s="11" t="s">
        <v>17</v>
      </c>
      <c r="D154" s="5" t="s">
        <v>17</v>
      </c>
      <c r="E154" s="8">
        <v>34862.720000000001</v>
      </c>
      <c r="F154" s="5" t="s">
        <v>10</v>
      </c>
      <c r="G154" s="2" t="s">
        <v>300</v>
      </c>
    </row>
    <row r="155" spans="1:7" x14ac:dyDescent="0.2">
      <c r="A155" s="11">
        <v>125</v>
      </c>
      <c r="B155" s="5" t="s">
        <v>301</v>
      </c>
      <c r="C155" s="11">
        <v>60314119747</v>
      </c>
      <c r="D155" s="5" t="s">
        <v>298</v>
      </c>
      <c r="E155" s="8">
        <v>118620.45</v>
      </c>
      <c r="F155" s="5" t="s">
        <v>10</v>
      </c>
      <c r="G155" s="2" t="s">
        <v>23</v>
      </c>
    </row>
    <row r="156" spans="1:7" x14ac:dyDescent="0.2">
      <c r="A156" s="11">
        <v>126</v>
      </c>
      <c r="B156" s="5" t="s">
        <v>302</v>
      </c>
      <c r="C156" s="11" t="s">
        <v>303</v>
      </c>
      <c r="D156" s="5" t="s">
        <v>304</v>
      </c>
      <c r="E156" s="8">
        <v>6368.71</v>
      </c>
      <c r="F156" s="5" t="s">
        <v>10</v>
      </c>
      <c r="G156" s="2" t="s">
        <v>23</v>
      </c>
    </row>
    <row r="157" spans="1:7" x14ac:dyDescent="0.2">
      <c r="A157" s="11">
        <v>127</v>
      </c>
      <c r="B157" s="5" t="s">
        <v>682</v>
      </c>
      <c r="C157" s="11" t="s">
        <v>683</v>
      </c>
      <c r="D157" s="5" t="s">
        <v>684</v>
      </c>
      <c r="E157" s="8">
        <v>19125</v>
      </c>
      <c r="F157" s="5" t="s">
        <v>10</v>
      </c>
      <c r="G157" s="2" t="s">
        <v>23</v>
      </c>
    </row>
    <row r="158" spans="1:7" x14ac:dyDescent="0.2">
      <c r="A158" s="11">
        <v>128</v>
      </c>
      <c r="B158" s="5" t="s">
        <v>308</v>
      </c>
      <c r="C158" s="12" t="s">
        <v>310</v>
      </c>
      <c r="D158" s="5" t="s">
        <v>309</v>
      </c>
      <c r="E158" s="8">
        <v>9825</v>
      </c>
      <c r="F158" s="5" t="s">
        <v>10</v>
      </c>
      <c r="G158" s="2" t="s">
        <v>23</v>
      </c>
    </row>
    <row r="159" spans="1:7" x14ac:dyDescent="0.2">
      <c r="A159" s="11">
        <v>129</v>
      </c>
      <c r="B159" s="5" t="s">
        <v>311</v>
      </c>
      <c r="C159" s="11">
        <v>95243482140</v>
      </c>
      <c r="D159" s="5" t="s">
        <v>312</v>
      </c>
      <c r="E159" s="8">
        <v>3034.91</v>
      </c>
      <c r="F159" s="5" t="s">
        <v>10</v>
      </c>
      <c r="G159" s="2" t="s">
        <v>23</v>
      </c>
    </row>
    <row r="160" spans="1:7" x14ac:dyDescent="0.2">
      <c r="A160" s="11">
        <v>130</v>
      </c>
      <c r="B160" s="5" t="s">
        <v>313</v>
      </c>
      <c r="C160" s="11">
        <v>74867487620</v>
      </c>
      <c r="D160" s="5" t="s">
        <v>314</v>
      </c>
      <c r="E160" s="8">
        <v>12413.31</v>
      </c>
      <c r="F160" s="5" t="s">
        <v>10</v>
      </c>
      <c r="G160" s="2" t="s">
        <v>23</v>
      </c>
    </row>
    <row r="161" spans="1:12" x14ac:dyDescent="0.2">
      <c r="A161" s="11">
        <v>131</v>
      </c>
      <c r="B161" s="5" t="s">
        <v>315</v>
      </c>
      <c r="C161" s="11">
        <v>98656691838</v>
      </c>
      <c r="D161" s="5" t="s">
        <v>316</v>
      </c>
      <c r="E161" s="8">
        <v>2975</v>
      </c>
      <c r="F161" s="5" t="s">
        <v>10</v>
      </c>
      <c r="G161" s="2" t="s">
        <v>23</v>
      </c>
    </row>
    <row r="162" spans="1:12" x14ac:dyDescent="0.2">
      <c r="A162" s="11">
        <v>132</v>
      </c>
      <c r="B162" s="5" t="s">
        <v>821</v>
      </c>
      <c r="C162" s="11">
        <v>58965834953</v>
      </c>
      <c r="D162" s="5" t="s">
        <v>822</v>
      </c>
      <c r="E162" s="8">
        <v>300</v>
      </c>
      <c r="F162" s="5" t="s">
        <v>10</v>
      </c>
      <c r="G162" s="2" t="s">
        <v>287</v>
      </c>
    </row>
    <row r="163" spans="1:12" x14ac:dyDescent="0.2">
      <c r="A163" s="11">
        <v>133</v>
      </c>
      <c r="B163" s="5" t="s">
        <v>321</v>
      </c>
      <c r="C163" s="11">
        <v>66346732180</v>
      </c>
      <c r="D163" s="5" t="s">
        <v>322</v>
      </c>
      <c r="E163" s="8">
        <v>3350</v>
      </c>
      <c r="F163" s="5" t="s">
        <v>10</v>
      </c>
      <c r="G163" s="2" t="s">
        <v>243</v>
      </c>
    </row>
    <row r="164" spans="1:12" x14ac:dyDescent="0.2">
      <c r="A164" s="11">
        <v>134</v>
      </c>
      <c r="B164" s="5" t="s">
        <v>323</v>
      </c>
      <c r="C164" s="11">
        <v>15907062900</v>
      </c>
      <c r="D164" s="5" t="s">
        <v>325</v>
      </c>
      <c r="E164" s="8">
        <v>9525.17</v>
      </c>
      <c r="F164" s="5" t="s">
        <v>10</v>
      </c>
      <c r="G164" s="2" t="s">
        <v>324</v>
      </c>
    </row>
    <row r="165" spans="1:12" x14ac:dyDescent="0.2">
      <c r="A165" s="11">
        <v>135</v>
      </c>
      <c r="B165" s="5" t="s">
        <v>644</v>
      </c>
      <c r="C165" s="11">
        <v>63182808929</v>
      </c>
      <c r="D165" s="5" t="s">
        <v>645</v>
      </c>
      <c r="E165" s="8">
        <v>290.99</v>
      </c>
      <c r="F165" s="5" t="s">
        <v>10</v>
      </c>
      <c r="G165" s="2" t="s">
        <v>23</v>
      </c>
    </row>
    <row r="166" spans="1:12" x14ac:dyDescent="0.2">
      <c r="A166" s="11">
        <v>136</v>
      </c>
      <c r="B166" s="5" t="s">
        <v>823</v>
      </c>
      <c r="C166" s="11">
        <v>43394280046</v>
      </c>
      <c r="D166" s="5" t="s">
        <v>824</v>
      </c>
      <c r="E166" s="8">
        <v>164.96</v>
      </c>
      <c r="F166" s="5" t="s">
        <v>10</v>
      </c>
      <c r="G166" s="2" t="s">
        <v>176</v>
      </c>
    </row>
    <row r="167" spans="1:12" x14ac:dyDescent="0.2">
      <c r="A167" s="11">
        <v>137</v>
      </c>
      <c r="B167" s="5" t="s">
        <v>332</v>
      </c>
      <c r="C167" s="12" t="s">
        <v>334</v>
      </c>
      <c r="D167" s="5" t="s">
        <v>333</v>
      </c>
      <c r="E167" s="8">
        <v>144.18</v>
      </c>
      <c r="F167" s="5" t="s">
        <v>10</v>
      </c>
      <c r="G167" s="2" t="s">
        <v>330</v>
      </c>
    </row>
    <row r="168" spans="1:12" x14ac:dyDescent="0.2">
      <c r="A168" s="11">
        <v>138</v>
      </c>
      <c r="B168" s="5" t="s">
        <v>646</v>
      </c>
      <c r="C168" s="11">
        <v>63652843508</v>
      </c>
      <c r="D168" s="5" t="s">
        <v>647</v>
      </c>
      <c r="E168" s="8">
        <v>203.06</v>
      </c>
      <c r="F168" s="5" t="s">
        <v>10</v>
      </c>
      <c r="G168" s="2" t="s">
        <v>287</v>
      </c>
    </row>
    <row r="169" spans="1:12" x14ac:dyDescent="0.2">
      <c r="A169" s="11">
        <v>139</v>
      </c>
      <c r="B169" s="5" t="s">
        <v>337</v>
      </c>
      <c r="C169" s="11">
        <v>97994010225</v>
      </c>
      <c r="D169" s="5" t="s">
        <v>338</v>
      </c>
      <c r="E169" s="8">
        <v>4153.9399999999996</v>
      </c>
      <c r="F169" s="5" t="s">
        <v>10</v>
      </c>
      <c r="G169" s="2" t="s">
        <v>23</v>
      </c>
    </row>
    <row r="170" spans="1:12" x14ac:dyDescent="0.2">
      <c r="A170" s="11">
        <v>140</v>
      </c>
      <c r="B170" s="5" t="s">
        <v>828</v>
      </c>
      <c r="C170" s="11">
        <v>79247590666</v>
      </c>
      <c r="D170" s="5" t="s">
        <v>829</v>
      </c>
      <c r="E170" s="8">
        <v>1913.64</v>
      </c>
      <c r="F170" s="5" t="s">
        <v>10</v>
      </c>
      <c r="G170" s="2" t="s">
        <v>287</v>
      </c>
    </row>
    <row r="171" spans="1:12" x14ac:dyDescent="0.2">
      <c r="A171" s="11">
        <v>141</v>
      </c>
      <c r="B171" s="5" t="s">
        <v>341</v>
      </c>
      <c r="C171" s="11">
        <v>78969071801</v>
      </c>
      <c r="D171" s="5" t="s">
        <v>342</v>
      </c>
      <c r="E171" s="8">
        <v>1940.92</v>
      </c>
      <c r="F171" s="5" t="s">
        <v>10</v>
      </c>
      <c r="G171" s="2" t="s">
        <v>23</v>
      </c>
      <c r="J171" s="13"/>
    </row>
    <row r="172" spans="1:12" x14ac:dyDescent="0.2">
      <c r="A172" s="11">
        <v>142</v>
      </c>
      <c r="B172" s="5" t="s">
        <v>825</v>
      </c>
      <c r="C172" s="11" t="s">
        <v>826</v>
      </c>
      <c r="D172" s="5" t="s">
        <v>827</v>
      </c>
      <c r="E172" s="8">
        <v>5760</v>
      </c>
      <c r="F172" s="5" t="s">
        <v>10</v>
      </c>
      <c r="G172" s="2" t="s">
        <v>23</v>
      </c>
    </row>
    <row r="173" spans="1:12" x14ac:dyDescent="0.2">
      <c r="A173" s="11">
        <v>143</v>
      </c>
      <c r="B173" s="5" t="s">
        <v>347</v>
      </c>
      <c r="C173" s="11">
        <v>51892779522</v>
      </c>
      <c r="D173" s="5" t="s">
        <v>348</v>
      </c>
      <c r="E173" s="8">
        <v>4591.8</v>
      </c>
      <c r="F173" s="5" t="s">
        <v>10</v>
      </c>
      <c r="G173" s="2" t="s">
        <v>23</v>
      </c>
      <c r="L173" s="21"/>
    </row>
    <row r="174" spans="1:12" x14ac:dyDescent="0.2">
      <c r="A174" s="11">
        <v>144</v>
      </c>
      <c r="B174" s="5" t="s">
        <v>364</v>
      </c>
      <c r="C174" s="11">
        <v>42769559951</v>
      </c>
      <c r="D174" s="5" t="s">
        <v>365</v>
      </c>
      <c r="E174" s="8">
        <v>8727.2999999999993</v>
      </c>
      <c r="F174" s="5" t="s">
        <v>10</v>
      </c>
      <c r="G174" s="2" t="s">
        <v>23</v>
      </c>
    </row>
    <row r="175" spans="1:12" x14ac:dyDescent="0.2">
      <c r="A175" s="11">
        <v>145</v>
      </c>
      <c r="B175" s="5" t="s">
        <v>372</v>
      </c>
      <c r="C175" s="11">
        <v>64021574271</v>
      </c>
      <c r="D175" s="5" t="s">
        <v>373</v>
      </c>
      <c r="E175" s="8">
        <v>387.73</v>
      </c>
      <c r="F175" s="5" t="s">
        <v>10</v>
      </c>
      <c r="G175" s="2" t="s">
        <v>23</v>
      </c>
    </row>
    <row r="176" spans="1:12" x14ac:dyDescent="0.2">
      <c r="A176" s="11">
        <v>146</v>
      </c>
      <c r="B176" s="5" t="s">
        <v>374</v>
      </c>
      <c r="C176" s="11">
        <v>48249084626</v>
      </c>
      <c r="D176" s="5" t="s">
        <v>375</v>
      </c>
      <c r="E176" s="8">
        <v>2391.46</v>
      </c>
      <c r="F176" s="5" t="s">
        <v>10</v>
      </c>
      <c r="G176" s="2" t="s">
        <v>23</v>
      </c>
    </row>
    <row r="177" spans="1:7" x14ac:dyDescent="0.2">
      <c r="A177" s="11">
        <v>147</v>
      </c>
      <c r="B177" s="5" t="s">
        <v>376</v>
      </c>
      <c r="C177" s="11">
        <v>26901839603</v>
      </c>
      <c r="D177" s="5" t="s">
        <v>377</v>
      </c>
      <c r="E177" s="8">
        <v>995.63</v>
      </c>
      <c r="F177" s="5" t="s">
        <v>10</v>
      </c>
      <c r="G177" s="2" t="s">
        <v>23</v>
      </c>
    </row>
    <row r="178" spans="1:7" x14ac:dyDescent="0.2">
      <c r="A178" s="11">
        <v>148</v>
      </c>
      <c r="B178" s="5" t="s">
        <v>380</v>
      </c>
      <c r="C178" s="11">
        <v>52641439848</v>
      </c>
      <c r="D178" s="5" t="s">
        <v>381</v>
      </c>
      <c r="E178" s="8">
        <v>360.68</v>
      </c>
      <c r="F178" s="5" t="s">
        <v>10</v>
      </c>
      <c r="G178" s="2" t="s">
        <v>23</v>
      </c>
    </row>
    <row r="179" spans="1:7" x14ac:dyDescent="0.2">
      <c r="A179" s="11">
        <v>149</v>
      </c>
      <c r="B179" s="5" t="s">
        <v>648</v>
      </c>
      <c r="C179" s="12">
        <v>80423934513</v>
      </c>
      <c r="D179" s="5" t="s">
        <v>649</v>
      </c>
      <c r="E179" s="8">
        <v>90.39</v>
      </c>
      <c r="F179" s="5" t="s">
        <v>10</v>
      </c>
      <c r="G179" s="2" t="s">
        <v>260</v>
      </c>
    </row>
    <row r="180" spans="1:7" x14ac:dyDescent="0.2">
      <c r="A180" s="11">
        <v>150</v>
      </c>
      <c r="B180" s="5" t="s">
        <v>382</v>
      </c>
      <c r="C180" s="11">
        <v>76080865307</v>
      </c>
      <c r="D180" s="5" t="s">
        <v>383</v>
      </c>
      <c r="E180" s="8">
        <v>38.159999999999997</v>
      </c>
      <c r="F180" s="5" t="s">
        <v>10</v>
      </c>
      <c r="G180" s="2" t="s">
        <v>287</v>
      </c>
    </row>
    <row r="181" spans="1:7" x14ac:dyDescent="0.2">
      <c r="A181" s="11">
        <v>151</v>
      </c>
      <c r="B181" s="5" t="s">
        <v>386</v>
      </c>
      <c r="C181" s="11">
        <v>60365429880</v>
      </c>
      <c r="D181" s="5" t="s">
        <v>387</v>
      </c>
      <c r="E181" s="8">
        <v>34.200000000000003</v>
      </c>
      <c r="F181" s="5" t="s">
        <v>10</v>
      </c>
      <c r="G181" s="2" t="s">
        <v>23</v>
      </c>
    </row>
    <row r="182" spans="1:7" x14ac:dyDescent="0.2">
      <c r="A182" s="11">
        <v>152</v>
      </c>
      <c r="B182" s="5" t="s">
        <v>391</v>
      </c>
      <c r="C182" s="11">
        <v>37879152548</v>
      </c>
      <c r="D182" s="5" t="s">
        <v>392</v>
      </c>
      <c r="E182" s="8">
        <v>2377.1999999999998</v>
      </c>
      <c r="F182" s="5" t="s">
        <v>10</v>
      </c>
      <c r="G182" s="2" t="s">
        <v>23</v>
      </c>
    </row>
    <row r="183" spans="1:7" x14ac:dyDescent="0.2">
      <c r="A183" s="11">
        <v>153</v>
      </c>
      <c r="B183" s="5" t="s">
        <v>393</v>
      </c>
      <c r="C183" s="11">
        <v>90439696130</v>
      </c>
      <c r="D183" s="5" t="s">
        <v>394</v>
      </c>
      <c r="E183" s="8">
        <v>21.38</v>
      </c>
      <c r="F183" s="5" t="s">
        <v>10</v>
      </c>
      <c r="G183" s="2" t="s">
        <v>23</v>
      </c>
    </row>
    <row r="184" spans="1:7" x14ac:dyDescent="0.2">
      <c r="A184" s="11">
        <v>154</v>
      </c>
      <c r="B184" s="5" t="s">
        <v>395</v>
      </c>
      <c r="C184" s="11">
        <v>39048902955</v>
      </c>
      <c r="D184" s="5" t="s">
        <v>396</v>
      </c>
      <c r="E184" s="8">
        <v>430.96</v>
      </c>
      <c r="F184" s="5" t="s">
        <v>10</v>
      </c>
      <c r="G184" s="2" t="s">
        <v>64</v>
      </c>
    </row>
    <row r="185" spans="1:7" x14ac:dyDescent="0.2">
      <c r="A185" s="11">
        <v>155</v>
      </c>
      <c r="B185" s="5" t="s">
        <v>397</v>
      </c>
      <c r="C185" s="11">
        <v>85375838060</v>
      </c>
      <c r="D185" s="5" t="s">
        <v>398</v>
      </c>
      <c r="E185" s="8">
        <v>28.55</v>
      </c>
      <c r="F185" s="5" t="s">
        <v>10</v>
      </c>
      <c r="G185" s="2" t="s">
        <v>64</v>
      </c>
    </row>
    <row r="186" spans="1:7" x14ac:dyDescent="0.2">
      <c r="A186" s="11">
        <v>156</v>
      </c>
      <c r="B186" s="5" t="s">
        <v>399</v>
      </c>
      <c r="C186" s="11">
        <v>70140364776</v>
      </c>
      <c r="D186" s="5" t="s">
        <v>400</v>
      </c>
      <c r="E186" s="8">
        <v>10976.28</v>
      </c>
      <c r="F186" s="5" t="s">
        <v>10</v>
      </c>
      <c r="G186" s="2" t="s">
        <v>263</v>
      </c>
    </row>
    <row r="187" spans="1:7" x14ac:dyDescent="0.2">
      <c r="A187" s="11">
        <v>157</v>
      </c>
      <c r="B187" s="5" t="s">
        <v>401</v>
      </c>
      <c r="C187" s="11">
        <v>55614719992</v>
      </c>
      <c r="D187" s="5" t="s">
        <v>402</v>
      </c>
      <c r="E187" s="8">
        <v>1669.03</v>
      </c>
      <c r="F187" s="5" t="s">
        <v>10</v>
      </c>
      <c r="G187" s="2" t="s">
        <v>23</v>
      </c>
    </row>
    <row r="188" spans="1:7" x14ac:dyDescent="0.2">
      <c r="A188" s="11">
        <v>158</v>
      </c>
      <c r="B188" s="5" t="s">
        <v>403</v>
      </c>
      <c r="C188" s="11">
        <v>95325472047</v>
      </c>
      <c r="D188" s="5" t="s">
        <v>404</v>
      </c>
      <c r="E188" s="8">
        <v>2313.9699999999998</v>
      </c>
      <c r="F188" s="5" t="s">
        <v>10</v>
      </c>
      <c r="G188" s="2" t="s">
        <v>23</v>
      </c>
    </row>
    <row r="189" spans="1:7" x14ac:dyDescent="0.2">
      <c r="A189" s="11">
        <v>159</v>
      </c>
      <c r="B189" s="5" t="s">
        <v>405</v>
      </c>
      <c r="C189" s="11">
        <v>38411868043</v>
      </c>
      <c r="D189" s="5" t="s">
        <v>406</v>
      </c>
      <c r="E189" s="8">
        <v>3355</v>
      </c>
      <c r="F189" s="5" t="s">
        <v>10</v>
      </c>
      <c r="G189" s="2" t="s">
        <v>23</v>
      </c>
    </row>
    <row r="190" spans="1:7" x14ac:dyDescent="0.2">
      <c r="A190" s="11">
        <v>160</v>
      </c>
      <c r="B190" s="5" t="s">
        <v>407</v>
      </c>
      <c r="C190" s="11">
        <v>89027343720</v>
      </c>
      <c r="D190" s="5" t="s">
        <v>408</v>
      </c>
      <c r="E190" s="8">
        <v>1304.83</v>
      </c>
      <c r="F190" s="5" t="s">
        <v>10</v>
      </c>
      <c r="G190" s="2" t="s">
        <v>23</v>
      </c>
    </row>
    <row r="191" spans="1:7" x14ac:dyDescent="0.2">
      <c r="A191" s="11">
        <v>161</v>
      </c>
      <c r="B191" s="5" t="s">
        <v>411</v>
      </c>
      <c r="C191" s="11">
        <v>110752628</v>
      </c>
      <c r="D191" s="5" t="s">
        <v>414</v>
      </c>
      <c r="E191" s="8">
        <v>7830.37</v>
      </c>
      <c r="F191" s="5" t="s">
        <v>10</v>
      </c>
      <c r="G191" s="2" t="s">
        <v>23</v>
      </c>
    </row>
    <row r="192" spans="1:7" x14ac:dyDescent="0.2">
      <c r="A192" s="11">
        <v>162</v>
      </c>
      <c r="B192" s="5" t="s">
        <v>412</v>
      </c>
      <c r="C192" s="11">
        <v>85611744662</v>
      </c>
      <c r="D192" s="5" t="s">
        <v>413</v>
      </c>
      <c r="E192" s="8">
        <v>182.11</v>
      </c>
      <c r="F192" s="5" t="s">
        <v>10</v>
      </c>
      <c r="G192" s="2" t="s">
        <v>23</v>
      </c>
    </row>
    <row r="193" spans="1:7" x14ac:dyDescent="0.2">
      <c r="A193" s="11">
        <v>163</v>
      </c>
      <c r="B193" s="5" t="s">
        <v>650</v>
      </c>
      <c r="C193" s="11">
        <v>64870810884</v>
      </c>
      <c r="D193" s="5" t="s">
        <v>651</v>
      </c>
      <c r="E193" s="8">
        <v>72</v>
      </c>
      <c r="F193" s="5" t="s">
        <v>10</v>
      </c>
      <c r="G193" s="2" t="s">
        <v>23</v>
      </c>
    </row>
    <row r="194" spans="1:7" x14ac:dyDescent="0.2">
      <c r="A194" s="11">
        <v>164</v>
      </c>
      <c r="B194" s="5" t="s">
        <v>420</v>
      </c>
      <c r="C194" s="11">
        <v>57495737984</v>
      </c>
      <c r="D194" s="5" t="s">
        <v>421</v>
      </c>
      <c r="E194" s="8">
        <v>655.59</v>
      </c>
      <c r="F194" s="5" t="s">
        <v>10</v>
      </c>
      <c r="G194" s="2" t="s">
        <v>287</v>
      </c>
    </row>
    <row r="195" spans="1:7" x14ac:dyDescent="0.2">
      <c r="A195" s="11">
        <v>165</v>
      </c>
      <c r="B195" s="5" t="s">
        <v>428</v>
      </c>
      <c r="C195" s="11">
        <v>53785632625</v>
      </c>
      <c r="D195" s="5" t="s">
        <v>429</v>
      </c>
      <c r="E195" s="8">
        <v>4397.95</v>
      </c>
      <c r="F195" s="5" t="s">
        <v>10</v>
      </c>
      <c r="G195" s="2" t="s">
        <v>23</v>
      </c>
    </row>
    <row r="196" spans="1:7" x14ac:dyDescent="0.2">
      <c r="A196" s="11">
        <v>166</v>
      </c>
      <c r="B196" s="5" t="s">
        <v>430</v>
      </c>
      <c r="C196" s="11">
        <v>39881074944</v>
      </c>
      <c r="D196" s="5" t="s">
        <v>431</v>
      </c>
      <c r="E196" s="8">
        <v>249.95</v>
      </c>
      <c r="F196" s="5" t="s">
        <v>10</v>
      </c>
      <c r="G196" s="2" t="s">
        <v>23</v>
      </c>
    </row>
    <row r="197" spans="1:7" x14ac:dyDescent="0.2">
      <c r="A197" s="11">
        <v>167</v>
      </c>
      <c r="B197" s="5" t="s">
        <v>432</v>
      </c>
      <c r="C197" s="11">
        <v>48633701387</v>
      </c>
      <c r="D197" s="5" t="s">
        <v>433</v>
      </c>
      <c r="E197" s="8">
        <v>73.69</v>
      </c>
      <c r="F197" s="5" t="s">
        <v>10</v>
      </c>
      <c r="G197" s="2" t="s">
        <v>23</v>
      </c>
    </row>
    <row r="198" spans="1:7" x14ac:dyDescent="0.2">
      <c r="A198" s="11">
        <v>168</v>
      </c>
      <c r="B198" s="5" t="s">
        <v>434</v>
      </c>
      <c r="C198" s="11" t="s">
        <v>436</v>
      </c>
      <c r="D198" s="5" t="s">
        <v>435</v>
      </c>
      <c r="E198" s="8">
        <v>4865.6000000000004</v>
      </c>
      <c r="F198" s="5" t="s">
        <v>10</v>
      </c>
      <c r="G198" s="2" t="s">
        <v>130</v>
      </c>
    </row>
    <row r="199" spans="1:7" x14ac:dyDescent="0.2">
      <c r="A199" s="11">
        <v>169</v>
      </c>
      <c r="B199" s="5" t="s">
        <v>437</v>
      </c>
      <c r="C199" s="11">
        <v>76147579166</v>
      </c>
      <c r="D199" s="5" t="s">
        <v>438</v>
      </c>
      <c r="E199" s="8">
        <v>74.16</v>
      </c>
      <c r="F199" s="5" t="s">
        <v>10</v>
      </c>
      <c r="G199" s="2" t="s">
        <v>23</v>
      </c>
    </row>
    <row r="200" spans="1:7" x14ac:dyDescent="0.2">
      <c r="A200" s="11">
        <v>170</v>
      </c>
      <c r="B200" s="5" t="s">
        <v>439</v>
      </c>
      <c r="C200" s="11">
        <v>48841983787</v>
      </c>
      <c r="D200" s="5" t="s">
        <v>440</v>
      </c>
      <c r="E200" s="8">
        <v>4755.63</v>
      </c>
      <c r="F200" s="5" t="s">
        <v>10</v>
      </c>
      <c r="G200" s="2" t="s">
        <v>23</v>
      </c>
    </row>
    <row r="201" spans="1:7" x14ac:dyDescent="0.2">
      <c r="A201" s="11">
        <v>171</v>
      </c>
      <c r="B201" s="5" t="s">
        <v>441</v>
      </c>
      <c r="C201" s="11">
        <v>12443607100</v>
      </c>
      <c r="D201" s="5" t="s">
        <v>442</v>
      </c>
      <c r="E201" s="8">
        <v>2623.38</v>
      </c>
      <c r="F201" s="5" t="s">
        <v>10</v>
      </c>
      <c r="G201" s="2" t="s">
        <v>23</v>
      </c>
    </row>
    <row r="202" spans="1:7" x14ac:dyDescent="0.2">
      <c r="A202" s="11">
        <v>172</v>
      </c>
      <c r="B202" s="5" t="s">
        <v>443</v>
      </c>
      <c r="C202" s="11" t="s">
        <v>17</v>
      </c>
      <c r="D202" s="5" t="s">
        <v>17</v>
      </c>
      <c r="E202" s="8">
        <v>200</v>
      </c>
      <c r="F202" s="5" t="s">
        <v>10</v>
      </c>
      <c r="G202" s="2" t="s">
        <v>179</v>
      </c>
    </row>
    <row r="203" spans="1:7" x14ac:dyDescent="0.2">
      <c r="A203" s="11">
        <v>173</v>
      </c>
      <c r="B203" s="5" t="s">
        <v>768</v>
      </c>
      <c r="C203" s="11" t="s">
        <v>769</v>
      </c>
      <c r="D203" s="5" t="s">
        <v>770</v>
      </c>
      <c r="E203" s="8">
        <v>106.93</v>
      </c>
      <c r="F203" s="5" t="s">
        <v>10</v>
      </c>
      <c r="G203" s="2" t="s">
        <v>23</v>
      </c>
    </row>
    <row r="204" spans="1:7" x14ac:dyDescent="0.2">
      <c r="A204" s="11">
        <v>174</v>
      </c>
      <c r="B204" s="5" t="s">
        <v>771</v>
      </c>
      <c r="C204" s="11">
        <v>92378435625</v>
      </c>
      <c r="D204" s="5" t="s">
        <v>772</v>
      </c>
      <c r="E204" s="8">
        <v>71.88</v>
      </c>
      <c r="F204" s="5" t="s">
        <v>10</v>
      </c>
      <c r="G204" s="2" t="s">
        <v>118</v>
      </c>
    </row>
    <row r="205" spans="1:7" x14ac:dyDescent="0.2">
      <c r="A205" s="11">
        <v>175</v>
      </c>
      <c r="B205" s="5" t="s">
        <v>773</v>
      </c>
      <c r="C205" s="11">
        <v>56290033854</v>
      </c>
      <c r="D205" s="5" t="s">
        <v>774</v>
      </c>
      <c r="E205" s="8">
        <v>113.13</v>
      </c>
      <c r="F205" s="5" t="s">
        <v>10</v>
      </c>
      <c r="G205" s="2" t="s">
        <v>176</v>
      </c>
    </row>
    <row r="206" spans="1:7" x14ac:dyDescent="0.2">
      <c r="A206" s="11">
        <v>176</v>
      </c>
      <c r="B206" s="5" t="s">
        <v>451</v>
      </c>
      <c r="C206" s="11" t="s">
        <v>452</v>
      </c>
      <c r="D206" s="5" t="s">
        <v>453</v>
      </c>
      <c r="E206" s="8">
        <v>8281.76</v>
      </c>
      <c r="F206" s="5" t="s">
        <v>10</v>
      </c>
      <c r="G206" s="2" t="s">
        <v>23</v>
      </c>
    </row>
    <row r="207" spans="1:7" x14ac:dyDescent="0.2">
      <c r="A207" s="11">
        <v>177</v>
      </c>
      <c r="B207" s="5" t="s">
        <v>454</v>
      </c>
      <c r="C207" s="11">
        <v>21748984734</v>
      </c>
      <c r="D207" s="5" t="s">
        <v>456</v>
      </c>
      <c r="E207" s="8">
        <v>302.83</v>
      </c>
      <c r="F207" s="5" t="s">
        <v>10</v>
      </c>
      <c r="G207" s="2" t="s">
        <v>455</v>
      </c>
    </row>
    <row r="208" spans="1:7" x14ac:dyDescent="0.2">
      <c r="A208" s="11">
        <v>178</v>
      </c>
      <c r="B208" s="5" t="s">
        <v>775</v>
      </c>
      <c r="C208" s="11">
        <v>74056056752</v>
      </c>
      <c r="D208" s="5" t="s">
        <v>776</v>
      </c>
      <c r="E208" s="8">
        <v>51.09</v>
      </c>
      <c r="F208" s="5" t="s">
        <v>10</v>
      </c>
      <c r="G208" s="2" t="s">
        <v>23</v>
      </c>
    </row>
    <row r="209" spans="1:7" x14ac:dyDescent="0.2">
      <c r="A209" s="11">
        <v>179</v>
      </c>
      <c r="B209" s="5" t="s">
        <v>459</v>
      </c>
      <c r="C209" s="11">
        <v>64008199572</v>
      </c>
      <c r="D209" s="5" t="s">
        <v>460</v>
      </c>
      <c r="E209" s="8">
        <v>831.95</v>
      </c>
      <c r="F209" s="5" t="s">
        <v>10</v>
      </c>
      <c r="G209" s="2" t="s">
        <v>23</v>
      </c>
    </row>
    <row r="210" spans="1:7" x14ac:dyDescent="0.2">
      <c r="A210" s="11">
        <v>180</v>
      </c>
      <c r="B210" s="5" t="s">
        <v>461</v>
      </c>
      <c r="C210" s="11">
        <v>83157399243</v>
      </c>
      <c r="D210" s="5" t="s">
        <v>462</v>
      </c>
      <c r="E210" s="8">
        <v>1563.89</v>
      </c>
      <c r="F210" s="5" t="s">
        <v>10</v>
      </c>
      <c r="G210" s="2" t="s">
        <v>23</v>
      </c>
    </row>
    <row r="211" spans="1:7" x14ac:dyDescent="0.2">
      <c r="A211" s="11">
        <v>181</v>
      </c>
      <c r="B211" s="5" t="s">
        <v>777</v>
      </c>
      <c r="C211" s="11">
        <v>41269625433</v>
      </c>
      <c r="D211" s="5" t="s">
        <v>778</v>
      </c>
      <c r="E211" s="8">
        <v>1595</v>
      </c>
      <c r="F211" s="5" t="s">
        <v>10</v>
      </c>
      <c r="G211" s="2" t="s">
        <v>23</v>
      </c>
    </row>
    <row r="212" spans="1:7" x14ac:dyDescent="0.2">
      <c r="A212" s="11">
        <v>182</v>
      </c>
      <c r="B212" s="5" t="s">
        <v>779</v>
      </c>
      <c r="C212" s="12">
        <v>100243474</v>
      </c>
      <c r="D212" s="5" t="s">
        <v>780</v>
      </c>
      <c r="E212" s="8">
        <v>2301</v>
      </c>
      <c r="F212" s="5" t="s">
        <v>10</v>
      </c>
      <c r="G212" s="2" t="s">
        <v>23</v>
      </c>
    </row>
    <row r="213" spans="1:7" x14ac:dyDescent="0.2">
      <c r="A213" s="11">
        <v>183</v>
      </c>
      <c r="B213" s="5" t="s">
        <v>781</v>
      </c>
      <c r="C213" s="11" t="s">
        <v>783</v>
      </c>
      <c r="D213" s="5" t="s">
        <v>782</v>
      </c>
      <c r="E213" s="8">
        <v>967.45</v>
      </c>
      <c r="F213" s="5" t="s">
        <v>10</v>
      </c>
      <c r="G213" s="2" t="s">
        <v>23</v>
      </c>
    </row>
    <row r="214" spans="1:7" x14ac:dyDescent="0.2">
      <c r="A214" s="11">
        <v>184</v>
      </c>
      <c r="B214" s="5" t="s">
        <v>471</v>
      </c>
      <c r="C214" s="11">
        <v>54661026138</v>
      </c>
      <c r="D214" s="5" t="s">
        <v>472</v>
      </c>
      <c r="E214" s="8">
        <v>3011.43</v>
      </c>
      <c r="F214" s="5" t="s">
        <v>10</v>
      </c>
      <c r="G214" s="2" t="s">
        <v>23</v>
      </c>
    </row>
    <row r="215" spans="1:7" x14ac:dyDescent="0.2">
      <c r="A215" s="11">
        <v>185</v>
      </c>
      <c r="B215" s="5" t="s">
        <v>473</v>
      </c>
      <c r="C215" s="11">
        <v>92839607312</v>
      </c>
      <c r="D215" s="5" t="s">
        <v>474</v>
      </c>
      <c r="E215" s="8">
        <v>2335.31</v>
      </c>
      <c r="F215" s="5" t="s">
        <v>10</v>
      </c>
      <c r="G215" s="2" t="s">
        <v>23</v>
      </c>
    </row>
    <row r="216" spans="1:7" x14ac:dyDescent="0.2">
      <c r="A216" s="11">
        <v>186</v>
      </c>
      <c r="B216" s="5" t="s">
        <v>830</v>
      </c>
      <c r="C216" s="12">
        <v>37414479901</v>
      </c>
      <c r="D216" s="5" t="s">
        <v>831</v>
      </c>
      <c r="E216" s="8">
        <f>2.7</f>
        <v>2.7</v>
      </c>
      <c r="F216" s="5" t="s">
        <v>10</v>
      </c>
      <c r="G216" s="2" t="s">
        <v>176</v>
      </c>
    </row>
    <row r="217" spans="1:7" x14ac:dyDescent="0.2">
      <c r="A217" s="11">
        <v>187</v>
      </c>
      <c r="B217" s="5" t="s">
        <v>834</v>
      </c>
      <c r="C217" s="11">
        <v>67003741356</v>
      </c>
      <c r="D217" s="5" t="s">
        <v>510</v>
      </c>
      <c r="E217" s="8">
        <v>29.88</v>
      </c>
      <c r="F217" s="5" t="s">
        <v>10</v>
      </c>
      <c r="G217" s="2" t="s">
        <v>23</v>
      </c>
    </row>
    <row r="218" spans="1:7" x14ac:dyDescent="0.2">
      <c r="A218" s="11">
        <v>188</v>
      </c>
      <c r="B218" s="5" t="s">
        <v>480</v>
      </c>
      <c r="C218" s="11">
        <v>69857578031</v>
      </c>
      <c r="D218" s="5" t="s">
        <v>482</v>
      </c>
      <c r="E218" s="8">
        <v>519.79</v>
      </c>
      <c r="F218" s="5" t="s">
        <v>10</v>
      </c>
      <c r="G218" s="2" t="s">
        <v>481</v>
      </c>
    </row>
    <row r="219" spans="1:7" x14ac:dyDescent="0.2">
      <c r="A219" s="11">
        <v>189</v>
      </c>
      <c r="B219" s="5" t="s">
        <v>668</v>
      </c>
      <c r="C219" s="12" t="s">
        <v>670</v>
      </c>
      <c r="D219" s="5" t="s">
        <v>669</v>
      </c>
      <c r="E219" s="8">
        <v>37879.64</v>
      </c>
      <c r="F219" s="5" t="s">
        <v>10</v>
      </c>
      <c r="G219" s="2" t="s">
        <v>23</v>
      </c>
    </row>
    <row r="220" spans="1:7" x14ac:dyDescent="0.2">
      <c r="A220" s="11">
        <v>190</v>
      </c>
      <c r="B220" s="5" t="s">
        <v>832</v>
      </c>
      <c r="C220" s="11">
        <v>21680443525</v>
      </c>
      <c r="D220" s="5" t="s">
        <v>833</v>
      </c>
      <c r="E220" s="8">
        <v>546.83000000000004</v>
      </c>
      <c r="F220" s="5" t="s">
        <v>10</v>
      </c>
      <c r="G220" s="2" t="s">
        <v>23</v>
      </c>
    </row>
    <row r="221" spans="1:7" x14ac:dyDescent="0.2">
      <c r="A221" s="11">
        <v>191</v>
      </c>
      <c r="B221" s="5" t="s">
        <v>674</v>
      </c>
      <c r="C221" s="11">
        <v>73294314024</v>
      </c>
      <c r="D221" s="5" t="s">
        <v>675</v>
      </c>
      <c r="E221" s="8">
        <f>751.33+20.38</f>
        <v>771.71</v>
      </c>
      <c r="F221" s="5" t="s">
        <v>10</v>
      </c>
      <c r="G221" s="2" t="s">
        <v>662</v>
      </c>
    </row>
    <row r="222" spans="1:7" x14ac:dyDescent="0.2">
      <c r="A222" s="11">
        <v>192</v>
      </c>
      <c r="B222" s="5" t="s">
        <v>494</v>
      </c>
      <c r="C222" s="11">
        <v>54482179263</v>
      </c>
      <c r="D222" s="5" t="s">
        <v>495</v>
      </c>
      <c r="E222" s="8">
        <v>121.2</v>
      </c>
      <c r="F222" s="5" t="s">
        <v>10</v>
      </c>
      <c r="G222" s="2" t="s">
        <v>23</v>
      </c>
    </row>
    <row r="223" spans="1:7" x14ac:dyDescent="0.2">
      <c r="A223" s="11">
        <v>193</v>
      </c>
      <c r="B223" s="5" t="s">
        <v>499</v>
      </c>
      <c r="C223" s="11">
        <v>50467974870</v>
      </c>
      <c r="D223" s="5" t="s">
        <v>500</v>
      </c>
      <c r="E223" s="8">
        <v>478.09</v>
      </c>
      <c r="F223" s="5" t="s">
        <v>10</v>
      </c>
      <c r="G223" s="2" t="s">
        <v>23</v>
      </c>
    </row>
    <row r="224" spans="1:7" x14ac:dyDescent="0.2">
      <c r="A224" s="11">
        <v>194</v>
      </c>
      <c r="B224" s="5" t="s">
        <v>501</v>
      </c>
      <c r="C224" s="11">
        <v>79506290597</v>
      </c>
      <c r="D224" s="5" t="s">
        <v>503</v>
      </c>
      <c r="E224" s="8">
        <v>80.14</v>
      </c>
      <c r="F224" s="5" t="s">
        <v>10</v>
      </c>
      <c r="G224" s="2" t="s">
        <v>502</v>
      </c>
    </row>
    <row r="225" spans="1:7" x14ac:dyDescent="0.2">
      <c r="A225" s="11">
        <v>195</v>
      </c>
      <c r="B225" s="5" t="s">
        <v>504</v>
      </c>
      <c r="C225" s="11">
        <v>75297532041</v>
      </c>
      <c r="D225" s="5" t="s">
        <v>506</v>
      </c>
      <c r="E225" s="8">
        <v>143.35</v>
      </c>
      <c r="F225" s="5" t="s">
        <v>10</v>
      </c>
      <c r="G225" s="2" t="s">
        <v>505</v>
      </c>
    </row>
    <row r="226" spans="1:7" x14ac:dyDescent="0.2">
      <c r="A226" s="11">
        <v>196</v>
      </c>
      <c r="B226" s="5" t="s">
        <v>507</v>
      </c>
      <c r="C226" s="11">
        <v>94505281348</v>
      </c>
      <c r="D226" s="5" t="s">
        <v>509</v>
      </c>
      <c r="E226" s="8">
        <v>157.5</v>
      </c>
      <c r="F226" s="5" t="s">
        <v>10</v>
      </c>
      <c r="G226" s="2" t="s">
        <v>287</v>
      </c>
    </row>
    <row r="227" spans="1:7" x14ac:dyDescent="0.2">
      <c r="A227" s="11">
        <v>197</v>
      </c>
      <c r="B227" s="5" t="s">
        <v>508</v>
      </c>
      <c r="C227" s="11">
        <v>47590958254</v>
      </c>
      <c r="D227" s="5" t="s">
        <v>510</v>
      </c>
      <c r="E227" s="8">
        <v>85</v>
      </c>
      <c r="F227" s="5" t="s">
        <v>10</v>
      </c>
      <c r="G227" s="2" t="s">
        <v>287</v>
      </c>
    </row>
    <row r="228" spans="1:7" x14ac:dyDescent="0.2">
      <c r="A228" s="11">
        <v>198</v>
      </c>
      <c r="B228" s="5" t="s">
        <v>746</v>
      </c>
      <c r="C228" s="11">
        <v>97446189704</v>
      </c>
      <c r="D228" s="5" t="s">
        <v>747</v>
      </c>
      <c r="E228" s="8">
        <v>565.76</v>
      </c>
      <c r="F228" s="5" t="s">
        <v>10</v>
      </c>
      <c r="G228" s="2" t="s">
        <v>243</v>
      </c>
    </row>
    <row r="229" spans="1:7" x14ac:dyDescent="0.2">
      <c r="A229" s="11">
        <v>199</v>
      </c>
      <c r="B229" s="5" t="s">
        <v>512</v>
      </c>
      <c r="C229" s="11">
        <v>44284514731</v>
      </c>
      <c r="D229" s="5" t="s">
        <v>514</v>
      </c>
      <c r="E229" s="8">
        <v>1575.08</v>
      </c>
      <c r="F229" s="5" t="s">
        <v>10</v>
      </c>
      <c r="G229" s="2" t="s">
        <v>23</v>
      </c>
    </row>
    <row r="230" spans="1:7" x14ac:dyDescent="0.2">
      <c r="A230" s="11">
        <v>200</v>
      </c>
      <c r="B230" s="5" t="s">
        <v>794</v>
      </c>
      <c r="C230" s="11">
        <v>69927324836</v>
      </c>
      <c r="D230" s="5" t="s">
        <v>795</v>
      </c>
      <c r="E230" s="8">
        <v>875.85</v>
      </c>
      <c r="F230" s="5" t="s">
        <v>10</v>
      </c>
      <c r="G230" s="2" t="s">
        <v>23</v>
      </c>
    </row>
    <row r="231" spans="1:7" x14ac:dyDescent="0.2">
      <c r="A231" s="11">
        <v>201</v>
      </c>
      <c r="B231" s="5" t="s">
        <v>517</v>
      </c>
      <c r="C231" s="11">
        <v>79378753915</v>
      </c>
      <c r="D231" s="5" t="s">
        <v>518</v>
      </c>
      <c r="E231" s="8">
        <v>836.69</v>
      </c>
      <c r="F231" s="5" t="s">
        <v>10</v>
      </c>
      <c r="G231" s="2" t="s">
        <v>23</v>
      </c>
    </row>
    <row r="232" spans="1:7" x14ac:dyDescent="0.2">
      <c r="A232" s="11">
        <v>202</v>
      </c>
      <c r="B232" s="5" t="s">
        <v>519</v>
      </c>
      <c r="C232" s="11">
        <v>14195921136</v>
      </c>
      <c r="D232" s="5" t="s">
        <v>520</v>
      </c>
      <c r="E232" s="8">
        <v>20913.53</v>
      </c>
      <c r="F232" s="5" t="s">
        <v>10</v>
      </c>
      <c r="G232" s="2" t="s">
        <v>23</v>
      </c>
    </row>
    <row r="233" spans="1:7" x14ac:dyDescent="0.2">
      <c r="A233" s="11">
        <v>203</v>
      </c>
      <c r="B233" s="5" t="s">
        <v>521</v>
      </c>
      <c r="C233" s="11">
        <v>49214559889</v>
      </c>
      <c r="D233" s="5" t="s">
        <v>522</v>
      </c>
      <c r="E233" s="8">
        <v>2000</v>
      </c>
      <c r="F233" s="5" t="s">
        <v>10</v>
      </c>
      <c r="G233" s="2" t="s">
        <v>23</v>
      </c>
    </row>
    <row r="234" spans="1:7" x14ac:dyDescent="0.2">
      <c r="A234" s="11">
        <v>204</v>
      </c>
      <c r="B234" s="5" t="s">
        <v>796</v>
      </c>
      <c r="C234" s="12">
        <v>46627510052</v>
      </c>
      <c r="D234" s="5" t="s">
        <v>797</v>
      </c>
      <c r="E234" s="8">
        <v>1078.3499999999999</v>
      </c>
      <c r="F234" s="5" t="s">
        <v>10</v>
      </c>
      <c r="G234" s="2" t="s">
        <v>260</v>
      </c>
    </row>
    <row r="235" spans="1:7" x14ac:dyDescent="0.2">
      <c r="A235" s="11">
        <v>205</v>
      </c>
      <c r="B235" s="5" t="s">
        <v>798</v>
      </c>
      <c r="C235" s="11">
        <v>84082732674</v>
      </c>
      <c r="D235" s="5" t="s">
        <v>799</v>
      </c>
      <c r="E235" s="8">
        <v>753.49</v>
      </c>
      <c r="F235" s="5" t="s">
        <v>10</v>
      </c>
      <c r="G235" s="2" t="s">
        <v>449</v>
      </c>
    </row>
    <row r="236" spans="1:7" x14ac:dyDescent="0.2">
      <c r="A236" s="11">
        <v>206</v>
      </c>
      <c r="B236" s="5" t="s">
        <v>800</v>
      </c>
      <c r="C236" s="11">
        <v>91367259285</v>
      </c>
      <c r="D236" s="5" t="s">
        <v>801</v>
      </c>
      <c r="E236" s="8">
        <v>293.94</v>
      </c>
      <c r="F236" s="5" t="s">
        <v>10</v>
      </c>
      <c r="G236" s="2" t="s">
        <v>147</v>
      </c>
    </row>
    <row r="237" spans="1:7" x14ac:dyDescent="0.2">
      <c r="A237" s="11">
        <v>207</v>
      </c>
      <c r="B237" s="5" t="s">
        <v>784</v>
      </c>
      <c r="C237" s="12" t="s">
        <v>786</v>
      </c>
      <c r="D237" s="5" t="s">
        <v>785</v>
      </c>
      <c r="E237" s="8">
        <v>270.82</v>
      </c>
      <c r="F237" s="5" t="s">
        <v>10</v>
      </c>
      <c r="G237" s="2" t="s">
        <v>763</v>
      </c>
    </row>
    <row r="238" spans="1:7" x14ac:dyDescent="0.2">
      <c r="A238" s="11">
        <v>208</v>
      </c>
      <c r="B238" s="5" t="s">
        <v>533</v>
      </c>
      <c r="C238" s="11">
        <v>7882320813</v>
      </c>
      <c r="D238" s="5" t="s">
        <v>534</v>
      </c>
      <c r="E238" s="8">
        <v>170.6</v>
      </c>
      <c r="F238" s="5" t="s">
        <v>10</v>
      </c>
      <c r="G238" s="2" t="s">
        <v>367</v>
      </c>
    </row>
    <row r="239" spans="1:7" x14ac:dyDescent="0.2">
      <c r="A239" s="11">
        <v>209</v>
      </c>
      <c r="B239" s="5" t="s">
        <v>665</v>
      </c>
      <c r="C239" s="11" t="s">
        <v>667</v>
      </c>
      <c r="D239" s="5" t="s">
        <v>666</v>
      </c>
      <c r="E239" s="8">
        <v>4992.47</v>
      </c>
      <c r="F239" s="5" t="s">
        <v>10</v>
      </c>
      <c r="G239" s="2" t="s">
        <v>23</v>
      </c>
    </row>
    <row r="240" spans="1:7" x14ac:dyDescent="0.2">
      <c r="A240" s="11">
        <v>210</v>
      </c>
      <c r="B240" s="5" t="s">
        <v>661</v>
      </c>
      <c r="C240" s="11">
        <v>28370392421</v>
      </c>
      <c r="D240" s="5" t="s">
        <v>660</v>
      </c>
      <c r="E240" s="8">
        <v>295.81</v>
      </c>
      <c r="F240" s="5" t="s">
        <v>10</v>
      </c>
      <c r="G240" s="2" t="s">
        <v>662</v>
      </c>
    </row>
    <row r="241" spans="1:7" x14ac:dyDescent="0.2">
      <c r="A241" s="11">
        <v>211</v>
      </c>
      <c r="B241" s="5" t="s">
        <v>787</v>
      </c>
      <c r="C241" s="11" t="s">
        <v>788</v>
      </c>
      <c r="D241" s="5" t="s">
        <v>789</v>
      </c>
      <c r="E241" s="8">
        <f>1576.5+1119</f>
        <v>2695.5</v>
      </c>
      <c r="F241" s="5" t="s">
        <v>10</v>
      </c>
      <c r="G241" s="2" t="s">
        <v>23</v>
      </c>
    </row>
    <row r="242" spans="1:7" x14ac:dyDescent="0.2">
      <c r="A242" s="11">
        <v>212</v>
      </c>
      <c r="B242" s="5" t="s">
        <v>690</v>
      </c>
      <c r="C242" s="11">
        <v>56717147376</v>
      </c>
      <c r="D242" s="5" t="s">
        <v>547</v>
      </c>
      <c r="E242" s="8">
        <v>2494.41</v>
      </c>
      <c r="F242" s="5" t="s">
        <v>10</v>
      </c>
      <c r="G242" s="2" t="s">
        <v>23</v>
      </c>
    </row>
    <row r="243" spans="1:7" x14ac:dyDescent="0.2">
      <c r="A243" s="11">
        <v>213</v>
      </c>
      <c r="B243" s="5" t="s">
        <v>548</v>
      </c>
      <c r="C243" s="11">
        <v>26950396239</v>
      </c>
      <c r="D243" s="5" t="s">
        <v>549</v>
      </c>
      <c r="E243" s="8">
        <v>2195</v>
      </c>
      <c r="F243" s="5" t="s">
        <v>10</v>
      </c>
      <c r="G243" s="2" t="s">
        <v>23</v>
      </c>
    </row>
    <row r="244" spans="1:7" x14ac:dyDescent="0.2">
      <c r="A244" s="11">
        <v>214</v>
      </c>
      <c r="B244" s="5" t="s">
        <v>552</v>
      </c>
      <c r="C244" s="12" t="s">
        <v>554</v>
      </c>
      <c r="D244" s="5" t="s">
        <v>553</v>
      </c>
      <c r="E244" s="8">
        <v>1661.96</v>
      </c>
      <c r="F244" s="5" t="s">
        <v>10</v>
      </c>
      <c r="G244" s="2" t="s">
        <v>23</v>
      </c>
    </row>
    <row r="245" spans="1:7" x14ac:dyDescent="0.2">
      <c r="A245" s="11">
        <v>215</v>
      </c>
      <c r="B245" s="5" t="s">
        <v>555</v>
      </c>
      <c r="C245" s="11">
        <v>56733014701</v>
      </c>
      <c r="D245" s="5" t="s">
        <v>556</v>
      </c>
      <c r="E245" s="8">
        <v>1630</v>
      </c>
      <c r="F245" s="5" t="s">
        <v>10</v>
      </c>
      <c r="G245" s="2" t="s">
        <v>23</v>
      </c>
    </row>
    <row r="246" spans="1:7" x14ac:dyDescent="0.2">
      <c r="A246" s="11">
        <v>216</v>
      </c>
      <c r="B246" s="5" t="s">
        <v>557</v>
      </c>
      <c r="C246" s="11">
        <v>75725588375</v>
      </c>
      <c r="D246" s="5" t="s">
        <v>558</v>
      </c>
      <c r="E246" s="8">
        <v>983.63</v>
      </c>
      <c r="F246" s="5" t="s">
        <v>10</v>
      </c>
      <c r="G246" s="2" t="s">
        <v>23</v>
      </c>
    </row>
    <row r="247" spans="1:7" x14ac:dyDescent="0.2">
      <c r="A247" s="11">
        <v>217</v>
      </c>
      <c r="B247" s="5" t="s">
        <v>559</v>
      </c>
      <c r="C247" s="11">
        <v>80523849112</v>
      </c>
      <c r="D247" s="5" t="s">
        <v>560</v>
      </c>
      <c r="E247" s="8">
        <v>199.4</v>
      </c>
      <c r="F247" s="5" t="s">
        <v>10</v>
      </c>
      <c r="G247" s="2" t="s">
        <v>23</v>
      </c>
    </row>
    <row r="248" spans="1:7" x14ac:dyDescent="0.2">
      <c r="A248" s="11">
        <v>218</v>
      </c>
      <c r="B248" s="5" t="s">
        <v>839</v>
      </c>
      <c r="C248" s="11">
        <v>27740284011</v>
      </c>
      <c r="D248" s="5" t="s">
        <v>840</v>
      </c>
      <c r="E248" s="8">
        <v>15.19</v>
      </c>
      <c r="F248" s="5" t="s">
        <v>10</v>
      </c>
      <c r="G248" s="2" t="s">
        <v>23</v>
      </c>
    </row>
    <row r="249" spans="1:7" x14ac:dyDescent="0.2">
      <c r="A249" s="11">
        <v>219</v>
      </c>
      <c r="B249" s="5" t="s">
        <v>565</v>
      </c>
      <c r="C249" s="12" t="s">
        <v>567</v>
      </c>
      <c r="D249" s="5" t="s">
        <v>566</v>
      </c>
      <c r="E249" s="8">
        <v>228.75</v>
      </c>
      <c r="F249" s="5" t="s">
        <v>10</v>
      </c>
      <c r="G249" s="2" t="s">
        <v>23</v>
      </c>
    </row>
    <row r="250" spans="1:7" x14ac:dyDescent="0.2">
      <c r="A250" s="11">
        <v>220</v>
      </c>
      <c r="B250" s="5" t="s">
        <v>837</v>
      </c>
      <c r="C250" s="11">
        <v>84515892678</v>
      </c>
      <c r="D250" s="5" t="s">
        <v>838</v>
      </c>
      <c r="E250" s="8">
        <v>625</v>
      </c>
      <c r="F250" s="5" t="s">
        <v>10</v>
      </c>
      <c r="G250" s="2" t="s">
        <v>23</v>
      </c>
    </row>
    <row r="251" spans="1:7" x14ac:dyDescent="0.2">
      <c r="A251" s="11">
        <v>221</v>
      </c>
      <c r="B251" s="5" t="s">
        <v>571</v>
      </c>
      <c r="C251" s="11">
        <v>75202805533</v>
      </c>
      <c r="D251" s="5" t="s">
        <v>588</v>
      </c>
      <c r="E251" s="8">
        <v>95.44</v>
      </c>
      <c r="F251" s="5" t="s">
        <v>10</v>
      </c>
      <c r="G251" s="2" t="s">
        <v>23</v>
      </c>
    </row>
    <row r="252" spans="1:7" x14ac:dyDescent="0.2">
      <c r="A252" s="11">
        <v>222</v>
      </c>
      <c r="B252" s="5" t="s">
        <v>790</v>
      </c>
      <c r="C252" s="12" t="s">
        <v>793</v>
      </c>
      <c r="D252" s="5" t="s">
        <v>792</v>
      </c>
      <c r="E252" s="8">
        <v>55.01</v>
      </c>
      <c r="F252" s="5" t="s">
        <v>10</v>
      </c>
      <c r="G252" s="2" t="s">
        <v>791</v>
      </c>
    </row>
    <row r="253" spans="1:7" x14ac:dyDescent="0.2">
      <c r="A253" s="11">
        <v>223</v>
      </c>
      <c r="B253" s="5" t="s">
        <v>835</v>
      </c>
      <c r="C253" s="11">
        <v>73927927880</v>
      </c>
      <c r="D253" s="5" t="s">
        <v>836</v>
      </c>
      <c r="E253" s="8">
        <v>825</v>
      </c>
      <c r="F253" s="5" t="s">
        <v>10</v>
      </c>
      <c r="G253" s="2" t="s">
        <v>287</v>
      </c>
    </row>
    <row r="254" spans="1:7" x14ac:dyDescent="0.2">
      <c r="A254" s="11">
        <v>224</v>
      </c>
      <c r="B254" s="5" t="s">
        <v>593</v>
      </c>
      <c r="C254" s="11">
        <v>41261796409</v>
      </c>
      <c r="D254" s="5" t="s">
        <v>592</v>
      </c>
      <c r="E254" s="8">
        <v>797.5</v>
      </c>
      <c r="F254" s="5" t="s">
        <v>10</v>
      </c>
      <c r="G254" s="2" t="s">
        <v>23</v>
      </c>
    </row>
    <row r="255" spans="1:7" x14ac:dyDescent="0.2">
      <c r="A255" s="11">
        <v>225</v>
      </c>
      <c r="B255" s="5" t="s">
        <v>573</v>
      </c>
      <c r="C255" s="11">
        <v>56862872842</v>
      </c>
      <c r="D255" s="5" t="s">
        <v>594</v>
      </c>
      <c r="E255" s="8">
        <v>1500</v>
      </c>
      <c r="F255" s="5" t="s">
        <v>10</v>
      </c>
      <c r="G255" s="2" t="s">
        <v>23</v>
      </c>
    </row>
    <row r="256" spans="1:7" x14ac:dyDescent="0.2">
      <c r="A256" s="11">
        <v>226</v>
      </c>
      <c r="B256" s="5" t="s">
        <v>765</v>
      </c>
      <c r="C256" s="11" t="s">
        <v>767</v>
      </c>
      <c r="D256" s="5" t="s">
        <v>766</v>
      </c>
      <c r="E256" s="8">
        <v>1044.4000000000001</v>
      </c>
      <c r="F256" s="5" t="s">
        <v>10</v>
      </c>
      <c r="G256" s="2" t="s">
        <v>23</v>
      </c>
    </row>
    <row r="257" spans="1:7" x14ac:dyDescent="0.2">
      <c r="A257" s="11">
        <v>227</v>
      </c>
      <c r="B257" s="5" t="s">
        <v>762</v>
      </c>
      <c r="C257" s="11">
        <v>98986410590</v>
      </c>
      <c r="D257" s="5" t="s">
        <v>764</v>
      </c>
      <c r="E257" s="8">
        <v>1592</v>
      </c>
      <c r="F257" s="5" t="s">
        <v>10</v>
      </c>
      <c r="G257" s="2" t="s">
        <v>763</v>
      </c>
    </row>
    <row r="258" spans="1:7" x14ac:dyDescent="0.2">
      <c r="A258" s="11">
        <v>228</v>
      </c>
      <c r="B258" s="5" t="s">
        <v>719</v>
      </c>
      <c r="C258" s="11">
        <v>88470929840</v>
      </c>
      <c r="D258" s="5" t="s">
        <v>720</v>
      </c>
      <c r="E258" s="8">
        <v>48.75</v>
      </c>
      <c r="F258" s="5" t="s">
        <v>10</v>
      </c>
      <c r="G258" s="2" t="s">
        <v>23</v>
      </c>
    </row>
    <row r="259" spans="1:7" x14ac:dyDescent="0.2">
      <c r="A259" s="11">
        <v>229</v>
      </c>
      <c r="B259" s="5" t="s">
        <v>574</v>
      </c>
      <c r="C259" s="11">
        <v>38453826849</v>
      </c>
      <c r="D259" s="5" t="s">
        <v>721</v>
      </c>
      <c r="E259" s="8">
        <v>138.75</v>
      </c>
      <c r="F259" s="5" t="s">
        <v>10</v>
      </c>
      <c r="G259" s="2" t="s">
        <v>23</v>
      </c>
    </row>
    <row r="260" spans="1:7" x14ac:dyDescent="0.2">
      <c r="A260" s="11">
        <v>230</v>
      </c>
      <c r="B260" s="5" t="s">
        <v>709</v>
      </c>
      <c r="C260" s="11">
        <v>34604734054</v>
      </c>
      <c r="D260" s="5" t="s">
        <v>710</v>
      </c>
      <c r="E260" s="8">
        <v>118.12</v>
      </c>
      <c r="F260" s="5" t="s">
        <v>10</v>
      </c>
      <c r="G260" s="2" t="s">
        <v>330</v>
      </c>
    </row>
    <row r="261" spans="1:7" x14ac:dyDescent="0.2">
      <c r="A261" s="11">
        <v>231</v>
      </c>
      <c r="B261" s="5" t="s">
        <v>578</v>
      </c>
      <c r="C261" s="11">
        <v>64691033428</v>
      </c>
      <c r="D261" s="5" t="s">
        <v>601</v>
      </c>
      <c r="E261" s="8">
        <v>2677</v>
      </c>
      <c r="F261" s="5" t="s">
        <v>10</v>
      </c>
      <c r="G261" s="2" t="s">
        <v>23</v>
      </c>
    </row>
    <row r="262" spans="1:7" x14ac:dyDescent="0.2">
      <c r="A262" s="11">
        <v>232</v>
      </c>
      <c r="B262" s="5" t="s">
        <v>579</v>
      </c>
      <c r="C262" s="11">
        <v>54527841697</v>
      </c>
      <c r="D262" s="5" t="s">
        <v>602</v>
      </c>
      <c r="E262" s="8">
        <v>5224.32</v>
      </c>
      <c r="F262" s="5" t="s">
        <v>10</v>
      </c>
      <c r="G262" s="2" t="s">
        <v>23</v>
      </c>
    </row>
    <row r="263" spans="1:7" x14ac:dyDescent="0.2">
      <c r="A263" s="11">
        <v>233</v>
      </c>
      <c r="B263" s="5" t="s">
        <v>722</v>
      </c>
      <c r="C263" s="11">
        <v>24356242807</v>
      </c>
      <c r="D263" s="5" t="s">
        <v>723</v>
      </c>
      <c r="E263" s="8">
        <v>569.80999999999995</v>
      </c>
      <c r="F263" s="5" t="s">
        <v>10</v>
      </c>
      <c r="G263" s="2" t="s">
        <v>23</v>
      </c>
    </row>
    <row r="264" spans="1:7" x14ac:dyDescent="0.2">
      <c r="A264" s="11">
        <v>234</v>
      </c>
      <c r="B264" s="5" t="s">
        <v>724</v>
      </c>
      <c r="C264" s="11">
        <v>97304721774</v>
      </c>
      <c r="D264" s="5" t="s">
        <v>725</v>
      </c>
      <c r="E264" s="8">
        <v>1503.75</v>
      </c>
      <c r="F264" s="5" t="s">
        <v>10</v>
      </c>
      <c r="G264" s="2" t="s">
        <v>23</v>
      </c>
    </row>
    <row r="265" spans="1:7" x14ac:dyDescent="0.2">
      <c r="A265" s="11">
        <v>235</v>
      </c>
      <c r="B265" s="5" t="s">
        <v>726</v>
      </c>
      <c r="C265" s="11">
        <v>34761413470</v>
      </c>
      <c r="D265" s="5" t="s">
        <v>727</v>
      </c>
      <c r="E265" s="8">
        <v>97.5</v>
      </c>
      <c r="F265" s="5" t="s">
        <v>10</v>
      </c>
      <c r="G265" s="2" t="s">
        <v>23</v>
      </c>
    </row>
    <row r="266" spans="1:7" x14ac:dyDescent="0.2">
      <c r="A266" s="11">
        <v>236</v>
      </c>
      <c r="B266" s="5" t="s">
        <v>728</v>
      </c>
      <c r="C266" s="12">
        <v>83910501982</v>
      </c>
      <c r="D266" s="5" t="s">
        <v>729</v>
      </c>
      <c r="E266" s="8">
        <v>107.03</v>
      </c>
      <c r="F266" s="5" t="s">
        <v>10</v>
      </c>
      <c r="G266" s="2" t="s">
        <v>23</v>
      </c>
    </row>
    <row r="267" spans="1:7" x14ac:dyDescent="0.2">
      <c r="A267" s="11">
        <v>237</v>
      </c>
      <c r="B267" s="5" t="s">
        <v>730</v>
      </c>
      <c r="C267" s="11">
        <v>85821130368</v>
      </c>
      <c r="D267" s="5" t="s">
        <v>731</v>
      </c>
      <c r="E267" s="8">
        <v>81.3</v>
      </c>
      <c r="F267" s="5" t="s">
        <v>10</v>
      </c>
      <c r="G267" s="2" t="s">
        <v>176</v>
      </c>
    </row>
    <row r="268" spans="1:7" x14ac:dyDescent="0.2">
      <c r="A268" s="11">
        <v>238</v>
      </c>
      <c r="B268" s="5" t="s">
        <v>759</v>
      </c>
      <c r="C268" s="11">
        <v>71008774672</v>
      </c>
      <c r="D268" s="5" t="s">
        <v>760</v>
      </c>
      <c r="E268" s="8">
        <v>6081.24</v>
      </c>
      <c r="F268" s="5" t="s">
        <v>10</v>
      </c>
      <c r="G268" s="2" t="s">
        <v>23</v>
      </c>
    </row>
    <row r="269" spans="1:7" x14ac:dyDescent="0.2">
      <c r="A269" s="11">
        <v>239</v>
      </c>
      <c r="B269" s="5" t="s">
        <v>585</v>
      </c>
      <c r="C269" s="11">
        <v>25706416813</v>
      </c>
      <c r="D269" s="5" t="s">
        <v>761</v>
      </c>
      <c r="E269" s="8">
        <v>5160.3599999999997</v>
      </c>
      <c r="F269" s="5" t="s">
        <v>10</v>
      </c>
      <c r="G269" s="2" t="s">
        <v>23</v>
      </c>
    </row>
    <row r="270" spans="1:7" x14ac:dyDescent="0.2">
      <c r="A270" s="11">
        <v>240</v>
      </c>
      <c r="B270" s="5" t="s">
        <v>586</v>
      </c>
      <c r="C270" s="11">
        <v>100299833</v>
      </c>
      <c r="D270" s="5" t="s">
        <v>610</v>
      </c>
      <c r="E270" s="8">
        <v>5322</v>
      </c>
      <c r="F270" s="5" t="s">
        <v>10</v>
      </c>
      <c r="G270" s="2" t="s">
        <v>23</v>
      </c>
    </row>
    <row r="271" spans="1:7" x14ac:dyDescent="0.2">
      <c r="A271" s="11">
        <v>241</v>
      </c>
      <c r="B271" s="5" t="s">
        <v>716</v>
      </c>
      <c r="C271" s="11" t="s">
        <v>717</v>
      </c>
      <c r="D271" s="5" t="s">
        <v>718</v>
      </c>
      <c r="E271" s="8">
        <v>7441.7</v>
      </c>
      <c r="F271" s="5" t="s">
        <v>10</v>
      </c>
      <c r="G271" s="2" t="s">
        <v>23</v>
      </c>
    </row>
    <row r="272" spans="1:7" ht="5.25" customHeight="1" x14ac:dyDescent="0.2">
      <c r="A272" s="11"/>
      <c r="B272" s="5"/>
      <c r="C272" s="11"/>
      <c r="D272" s="5"/>
      <c r="E272" s="8"/>
      <c r="F272" s="5"/>
      <c r="G272" s="2"/>
    </row>
    <row r="274" spans="4:7" x14ac:dyDescent="0.2">
      <c r="D274" s="51" t="s">
        <v>1227</v>
      </c>
      <c r="E274" s="52">
        <f>SUM(E11:E272)</f>
        <v>3059488.8400000017</v>
      </c>
    </row>
    <row r="280" spans="4:7" x14ac:dyDescent="0.2">
      <c r="D280" s="13"/>
      <c r="G280" s="13"/>
    </row>
  </sheetData>
  <sheetProtection algorithmName="SHA-512" hashValue="Q+jiyAEGeomzq1BAKbgNraiGJo9r5G7nf/2DhH53a0e1P9yYEvbJniZZPN/FgBWK+XnbELuFz7lk6/OrRwofog==" saltValue="zYmlZNgtjrVM1JLHuU2HRw==" spinCount="100000" sheet="1" objects="1" scenarios="1" selectLockedCells="1" autoFilter="0" selectUnlockedCells="1"/>
  <autoFilter ref="A10:G271" xr:uid="{1950F4FB-0261-43D0-828A-F0FFB9B4258F}"/>
  <mergeCells count="63">
    <mergeCell ref="A150:A151"/>
    <mergeCell ref="B150:B151"/>
    <mergeCell ref="C150:C151"/>
    <mergeCell ref="D150:D151"/>
    <mergeCell ref="F150:F151"/>
    <mergeCell ref="F99:F100"/>
    <mergeCell ref="A126:A127"/>
    <mergeCell ref="B126:B127"/>
    <mergeCell ref="C126:C127"/>
    <mergeCell ref="D126:D127"/>
    <mergeCell ref="F126:F127"/>
    <mergeCell ref="A118:A119"/>
    <mergeCell ref="B118:B119"/>
    <mergeCell ref="C118:C119"/>
    <mergeCell ref="D118:D119"/>
    <mergeCell ref="F118:F119"/>
    <mergeCell ref="A110:A111"/>
    <mergeCell ref="B110:B111"/>
    <mergeCell ref="C110:C111"/>
    <mergeCell ref="D110:D111"/>
    <mergeCell ref="F110:F111"/>
    <mergeCell ref="A99:A100"/>
    <mergeCell ref="B99:B100"/>
    <mergeCell ref="C99:C100"/>
    <mergeCell ref="D99:D100"/>
    <mergeCell ref="A64:A65"/>
    <mergeCell ref="B64:B65"/>
    <mergeCell ref="C64:C65"/>
    <mergeCell ref="D64:D65"/>
    <mergeCell ref="F64:F65"/>
    <mergeCell ref="A45:A48"/>
    <mergeCell ref="B45:B48"/>
    <mergeCell ref="C45:C48"/>
    <mergeCell ref="D45:D48"/>
    <mergeCell ref="F45:F48"/>
    <mergeCell ref="A61:A62"/>
    <mergeCell ref="B61:B62"/>
    <mergeCell ref="C61:C62"/>
    <mergeCell ref="D61:D62"/>
    <mergeCell ref="F61:F62"/>
    <mergeCell ref="A37:A41"/>
    <mergeCell ref="B37:B41"/>
    <mergeCell ref="C37:C41"/>
    <mergeCell ref="D37:D41"/>
    <mergeCell ref="F37:F41"/>
    <mergeCell ref="A43:A44"/>
    <mergeCell ref="B43:B44"/>
    <mergeCell ref="C43:C44"/>
    <mergeCell ref="D43:D44"/>
    <mergeCell ref="F43:F44"/>
    <mergeCell ref="A6:B6"/>
    <mergeCell ref="A7:B7"/>
    <mergeCell ref="C8:F8"/>
    <mergeCell ref="A32:A34"/>
    <mergeCell ref="B32:B34"/>
    <mergeCell ref="C32:C34"/>
    <mergeCell ref="D32:D34"/>
    <mergeCell ref="F32:F34"/>
    <mergeCell ref="A27:A30"/>
    <mergeCell ref="B27:B30"/>
    <mergeCell ref="C27:C30"/>
    <mergeCell ref="D27:D30"/>
    <mergeCell ref="F27:F30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7C73B-E4C7-407A-9199-FC8811F48BF6}">
  <sheetPr codeName="List3"/>
  <dimension ref="A5:L248"/>
  <sheetViews>
    <sheetView workbookViewId="0">
      <selection activeCell="D256" sqref="D256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74" t="s">
        <v>7</v>
      </c>
      <c r="B6" s="74"/>
    </row>
    <row r="7" spans="1:7" x14ac:dyDescent="0.2">
      <c r="A7" s="74" t="s">
        <v>8</v>
      </c>
      <c r="B7" s="74"/>
    </row>
    <row r="8" spans="1:7" x14ac:dyDescent="0.2">
      <c r="A8" s="25"/>
      <c r="B8" s="6"/>
      <c r="C8" s="75" t="s">
        <v>841</v>
      </c>
      <c r="D8" s="75"/>
      <c r="E8" s="75"/>
      <c r="F8" s="75"/>
    </row>
    <row r="10" spans="1:7" x14ac:dyDescent="0.2">
      <c r="A10" s="3" t="s">
        <v>1</v>
      </c>
      <c r="B10" s="4" t="s">
        <v>0</v>
      </c>
      <c r="C10" s="3" t="s">
        <v>42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11</v>
      </c>
      <c r="C11" s="11">
        <v>23780250353</v>
      </c>
      <c r="D11" s="5" t="s">
        <v>27</v>
      </c>
      <c r="E11" s="8">
        <v>2520.39</v>
      </c>
      <c r="F11" s="5" t="s">
        <v>10</v>
      </c>
      <c r="G11" s="2" t="s">
        <v>12</v>
      </c>
    </row>
    <row r="12" spans="1:7" x14ac:dyDescent="0.2">
      <c r="A12" s="11">
        <v>2</v>
      </c>
      <c r="B12" s="5" t="s">
        <v>13</v>
      </c>
      <c r="C12" s="11">
        <v>90275854576</v>
      </c>
      <c r="D12" s="5" t="s">
        <v>28</v>
      </c>
      <c r="E12" s="8">
        <v>329.64</v>
      </c>
      <c r="F12" s="5" t="s">
        <v>10</v>
      </c>
      <c r="G12" s="2" t="s">
        <v>12</v>
      </c>
    </row>
    <row r="13" spans="1:7" x14ac:dyDescent="0.2">
      <c r="A13" s="11">
        <v>3</v>
      </c>
      <c r="B13" s="5" t="s">
        <v>14</v>
      </c>
      <c r="C13" s="11">
        <v>87939104217</v>
      </c>
      <c r="D13" s="5" t="s">
        <v>15</v>
      </c>
      <c r="E13" s="8">
        <v>25.08</v>
      </c>
      <c r="F13" s="5" t="s">
        <v>10</v>
      </c>
      <c r="G13" s="2" t="s">
        <v>16</v>
      </c>
    </row>
    <row r="14" spans="1:7" x14ac:dyDescent="0.2">
      <c r="A14" s="11">
        <v>4</v>
      </c>
      <c r="B14" s="5" t="s">
        <v>17</v>
      </c>
      <c r="C14" s="11" t="s">
        <v>17</v>
      </c>
      <c r="D14" s="5" t="s">
        <v>17</v>
      </c>
      <c r="E14" s="8">
        <f>560+560+728.13</f>
        <v>1848.13</v>
      </c>
      <c r="F14" s="5" t="s">
        <v>10</v>
      </c>
      <c r="G14" s="2" t="s">
        <v>18</v>
      </c>
    </row>
    <row r="15" spans="1:7" ht="14.25" customHeight="1" x14ac:dyDescent="0.2">
      <c r="A15" s="11">
        <v>5</v>
      </c>
      <c r="B15" s="5" t="s">
        <v>19</v>
      </c>
      <c r="C15" s="12" t="s">
        <v>30</v>
      </c>
      <c r="D15" s="9" t="s">
        <v>31</v>
      </c>
      <c r="E15" s="8">
        <f>65.1</f>
        <v>65.099999999999994</v>
      </c>
      <c r="F15" s="5" t="s">
        <v>10</v>
      </c>
      <c r="G15" s="2" t="s">
        <v>20</v>
      </c>
    </row>
    <row r="16" spans="1:7" x14ac:dyDescent="0.2">
      <c r="A16" s="11">
        <v>6</v>
      </c>
      <c r="B16" s="5" t="s">
        <v>22</v>
      </c>
      <c r="C16" s="11">
        <v>85167032587</v>
      </c>
      <c r="D16" s="5" t="s">
        <v>29</v>
      </c>
      <c r="E16" s="8">
        <v>527.30999999999995</v>
      </c>
      <c r="F16" s="5" t="s">
        <v>10</v>
      </c>
      <c r="G16" s="2" t="s">
        <v>21</v>
      </c>
    </row>
    <row r="17" spans="1:8" x14ac:dyDescent="0.2">
      <c r="A17" s="11">
        <v>7</v>
      </c>
      <c r="B17" s="5" t="s">
        <v>691</v>
      </c>
      <c r="C17" s="11">
        <v>31826907316</v>
      </c>
      <c r="D17" s="5" t="s">
        <v>692</v>
      </c>
      <c r="E17" s="8">
        <v>20000</v>
      </c>
      <c r="F17" s="5" t="s">
        <v>10</v>
      </c>
      <c r="G17" s="2" t="s">
        <v>23</v>
      </c>
    </row>
    <row r="18" spans="1:8" x14ac:dyDescent="0.2">
      <c r="A18" s="11">
        <v>8</v>
      </c>
      <c r="B18" s="5" t="s">
        <v>688</v>
      </c>
      <c r="C18" s="11">
        <v>44040649076</v>
      </c>
      <c r="D18" s="5" t="s">
        <v>689</v>
      </c>
      <c r="E18" s="8">
        <v>400</v>
      </c>
      <c r="F18" s="5" t="s">
        <v>10</v>
      </c>
      <c r="G18" s="2" t="s">
        <v>318</v>
      </c>
    </row>
    <row r="19" spans="1:8" x14ac:dyDescent="0.2">
      <c r="A19" s="11">
        <v>9</v>
      </c>
      <c r="B19" s="5" t="s">
        <v>842</v>
      </c>
      <c r="C19" s="11">
        <v>15533693916</v>
      </c>
      <c r="D19" s="5" t="s">
        <v>843</v>
      </c>
      <c r="E19" s="8">
        <v>240</v>
      </c>
      <c r="F19" s="5" t="s">
        <v>10</v>
      </c>
      <c r="G19" s="2" t="s">
        <v>23</v>
      </c>
    </row>
    <row r="20" spans="1:8" x14ac:dyDescent="0.2">
      <c r="A20" s="11">
        <v>10</v>
      </c>
      <c r="B20" s="5" t="s">
        <v>17</v>
      </c>
      <c r="C20" s="11" t="s">
        <v>17</v>
      </c>
      <c r="D20" s="5" t="s">
        <v>17</v>
      </c>
      <c r="E20" s="8">
        <f>1017315.08+168.39+0.01+393.72</f>
        <v>1017877.2</v>
      </c>
      <c r="F20" s="5" t="s">
        <v>10</v>
      </c>
      <c r="G20" s="2" t="s">
        <v>34</v>
      </c>
    </row>
    <row r="21" spans="1:8" ht="15" customHeight="1" x14ac:dyDescent="0.2">
      <c r="A21" s="11">
        <v>11</v>
      </c>
      <c r="B21" s="5" t="s">
        <v>154</v>
      </c>
      <c r="C21" s="11">
        <v>33001753417</v>
      </c>
      <c r="D21" s="5" t="s">
        <v>213</v>
      </c>
      <c r="E21" s="8">
        <f>2877.5+ 1460</f>
        <v>4337.5</v>
      </c>
      <c r="F21" s="5" t="s">
        <v>10</v>
      </c>
      <c r="G21" s="2" t="s">
        <v>23</v>
      </c>
    </row>
    <row r="22" spans="1:8" x14ac:dyDescent="0.2">
      <c r="A22" s="11">
        <v>12</v>
      </c>
      <c r="B22" s="5" t="s">
        <v>860</v>
      </c>
      <c r="C22" s="11">
        <v>44307963093</v>
      </c>
      <c r="D22" s="5" t="s">
        <v>861</v>
      </c>
      <c r="E22" s="8">
        <v>2300</v>
      </c>
      <c r="F22" s="5" t="s">
        <v>10</v>
      </c>
      <c r="G22" s="2" t="s">
        <v>23</v>
      </c>
    </row>
    <row r="23" spans="1:8" x14ac:dyDescent="0.2">
      <c r="A23" s="11">
        <v>13</v>
      </c>
      <c r="B23" s="5" t="s">
        <v>39</v>
      </c>
      <c r="C23" s="12" t="s">
        <v>44</v>
      </c>
      <c r="D23" s="5" t="s">
        <v>43</v>
      </c>
      <c r="E23" s="8">
        <f>11.92+1048.65+15</f>
        <v>1075.5700000000002</v>
      </c>
      <c r="F23" s="5" t="s">
        <v>10</v>
      </c>
      <c r="G23" s="2" t="s">
        <v>16</v>
      </c>
    </row>
    <row r="24" spans="1:8" x14ac:dyDescent="0.2">
      <c r="A24" s="11">
        <v>14</v>
      </c>
      <c r="B24" s="5" t="s">
        <v>45</v>
      </c>
      <c r="C24" s="11">
        <v>57500462912</v>
      </c>
      <c r="D24" s="5" t="s">
        <v>47</v>
      </c>
      <c r="E24" s="8">
        <v>800</v>
      </c>
      <c r="F24" s="5" t="s">
        <v>10</v>
      </c>
      <c r="G24" s="2" t="s">
        <v>46</v>
      </c>
    </row>
    <row r="25" spans="1:8" x14ac:dyDescent="0.2">
      <c r="A25" s="11">
        <v>15</v>
      </c>
      <c r="B25" s="5" t="s">
        <v>852</v>
      </c>
      <c r="C25" s="11">
        <v>94472454976</v>
      </c>
      <c r="D25" s="5" t="s">
        <v>853</v>
      </c>
      <c r="E25" s="8">
        <v>5705.64</v>
      </c>
      <c r="F25" s="5" t="s">
        <v>10</v>
      </c>
      <c r="G25" s="2" t="s">
        <v>854</v>
      </c>
    </row>
    <row r="26" spans="1:8" ht="12.75" thickBot="1" x14ac:dyDescent="0.25">
      <c r="A26" s="11">
        <v>16</v>
      </c>
      <c r="B26" s="19" t="s">
        <v>844</v>
      </c>
      <c r="C26" s="36">
        <v>99940897955</v>
      </c>
      <c r="D26" s="19" t="s">
        <v>845</v>
      </c>
      <c r="E26" s="15">
        <v>425</v>
      </c>
      <c r="F26" s="19" t="s">
        <v>10</v>
      </c>
      <c r="G26" s="28" t="s">
        <v>23</v>
      </c>
    </row>
    <row r="27" spans="1:8" x14ac:dyDescent="0.2">
      <c r="A27" s="84">
        <v>17</v>
      </c>
      <c r="B27" s="82" t="s">
        <v>54</v>
      </c>
      <c r="C27" s="86" t="s">
        <v>69</v>
      </c>
      <c r="D27" s="82" t="s">
        <v>68</v>
      </c>
      <c r="E27" s="29">
        <v>5.77</v>
      </c>
      <c r="F27" s="82" t="s">
        <v>10</v>
      </c>
      <c r="G27" s="31" t="s">
        <v>64</v>
      </c>
    </row>
    <row r="28" spans="1:8" ht="15.75" customHeight="1" thickBot="1" x14ac:dyDescent="0.25">
      <c r="A28" s="85"/>
      <c r="B28" s="83"/>
      <c r="C28" s="87"/>
      <c r="D28" s="83"/>
      <c r="E28" s="18">
        <v>548.04999999999995</v>
      </c>
      <c r="F28" s="83"/>
      <c r="G28" s="32" t="s">
        <v>61</v>
      </c>
    </row>
    <row r="29" spans="1:8" x14ac:dyDescent="0.2">
      <c r="A29" s="37">
        <v>18</v>
      </c>
      <c r="B29" s="33" t="s">
        <v>56</v>
      </c>
      <c r="C29" s="37">
        <v>23308926345</v>
      </c>
      <c r="D29" s="33" t="s">
        <v>74</v>
      </c>
      <c r="E29" s="29">
        <v>681.25</v>
      </c>
      <c r="F29" s="30" t="s">
        <v>10</v>
      </c>
      <c r="G29" s="31" t="s">
        <v>55</v>
      </c>
      <c r="H29" s="13"/>
    </row>
    <row r="30" spans="1:8" x14ac:dyDescent="0.2">
      <c r="A30" s="36">
        <v>19</v>
      </c>
      <c r="B30" s="23" t="s">
        <v>613</v>
      </c>
      <c r="C30" s="24">
        <v>66253945791</v>
      </c>
      <c r="D30" s="38" t="s">
        <v>67</v>
      </c>
      <c r="E30" s="8">
        <v>2513.44</v>
      </c>
      <c r="F30" s="23" t="s">
        <v>10</v>
      </c>
      <c r="G30" s="2" t="s">
        <v>23</v>
      </c>
    </row>
    <row r="31" spans="1:8" x14ac:dyDescent="0.2">
      <c r="A31" s="11">
        <v>20</v>
      </c>
      <c r="B31" s="5" t="s">
        <v>478</v>
      </c>
      <c r="C31" s="11">
        <v>25712329343</v>
      </c>
      <c r="D31" s="5" t="s">
        <v>479</v>
      </c>
      <c r="E31" s="17">
        <v>550</v>
      </c>
      <c r="F31" s="5" t="s">
        <v>10</v>
      </c>
      <c r="G31" s="2" t="s">
        <v>23</v>
      </c>
    </row>
    <row r="32" spans="1:8" ht="12.75" thickBot="1" x14ac:dyDescent="0.25">
      <c r="A32" s="36">
        <v>21</v>
      </c>
      <c r="B32" s="19" t="s">
        <v>59</v>
      </c>
      <c r="C32" s="36">
        <v>63073332379</v>
      </c>
      <c r="D32" s="19" t="s">
        <v>73</v>
      </c>
      <c r="E32" s="15">
        <v>5006.67</v>
      </c>
      <c r="F32" s="19" t="s">
        <v>10</v>
      </c>
      <c r="G32" s="28" t="s">
        <v>61</v>
      </c>
    </row>
    <row r="33" spans="1:9" x14ac:dyDescent="0.2">
      <c r="A33" s="84">
        <v>22</v>
      </c>
      <c r="B33" s="82" t="s">
        <v>60</v>
      </c>
      <c r="C33" s="84">
        <v>39901919995</v>
      </c>
      <c r="D33" s="82" t="s">
        <v>72</v>
      </c>
      <c r="E33" s="16">
        <v>693.98</v>
      </c>
      <c r="F33" s="82" t="s">
        <v>10</v>
      </c>
      <c r="G33" s="31" t="s">
        <v>61</v>
      </c>
    </row>
    <row r="34" spans="1:9" ht="12.75" thickBot="1" x14ac:dyDescent="0.25">
      <c r="A34" s="85"/>
      <c r="B34" s="83"/>
      <c r="C34" s="85"/>
      <c r="D34" s="83"/>
      <c r="E34" s="18">
        <v>57.58</v>
      </c>
      <c r="F34" s="83"/>
      <c r="G34" s="32" t="s">
        <v>64</v>
      </c>
      <c r="I34" s="13"/>
    </row>
    <row r="35" spans="1:9" ht="12.75" thickBot="1" x14ac:dyDescent="0.25">
      <c r="A35" s="39">
        <f>A33+1</f>
        <v>23</v>
      </c>
      <c r="B35" s="40" t="s">
        <v>65</v>
      </c>
      <c r="C35" s="39">
        <v>93039509752</v>
      </c>
      <c r="D35" s="40" t="s">
        <v>75</v>
      </c>
      <c r="E35" s="20">
        <v>1559.49</v>
      </c>
      <c r="F35" s="40" t="s">
        <v>10</v>
      </c>
      <c r="G35" s="41" t="s">
        <v>66</v>
      </c>
    </row>
    <row r="36" spans="1:9" ht="15" customHeight="1" x14ac:dyDescent="0.2">
      <c r="A36" s="84">
        <v>24</v>
      </c>
      <c r="B36" s="82" t="s">
        <v>76</v>
      </c>
      <c r="C36" s="84">
        <v>11471889269</v>
      </c>
      <c r="D36" s="82" t="s">
        <v>77</v>
      </c>
      <c r="E36" s="16">
        <v>178.56</v>
      </c>
      <c r="F36" s="82" t="s">
        <v>10</v>
      </c>
      <c r="G36" s="31" t="s">
        <v>58</v>
      </c>
    </row>
    <row r="37" spans="1:9" ht="12.75" thickBot="1" x14ac:dyDescent="0.25">
      <c r="A37" s="85"/>
      <c r="B37" s="83"/>
      <c r="C37" s="85"/>
      <c r="D37" s="83"/>
      <c r="E37" s="18">
        <v>18335</v>
      </c>
      <c r="F37" s="83"/>
      <c r="G37" s="32" t="s">
        <v>23</v>
      </c>
    </row>
    <row r="38" spans="1:9" x14ac:dyDescent="0.2">
      <c r="A38" s="84">
        <v>25</v>
      </c>
      <c r="B38" s="82" t="s">
        <v>78</v>
      </c>
      <c r="C38" s="84">
        <v>27759560625</v>
      </c>
      <c r="D38" s="82" t="s">
        <v>80</v>
      </c>
      <c r="E38" s="16">
        <v>6645.63</v>
      </c>
      <c r="F38" s="82" t="s">
        <v>10</v>
      </c>
      <c r="G38" s="31" t="s">
        <v>79</v>
      </c>
    </row>
    <row r="39" spans="1:9" x14ac:dyDescent="0.2">
      <c r="A39" s="70"/>
      <c r="B39" s="69"/>
      <c r="C39" s="70"/>
      <c r="D39" s="69"/>
      <c r="E39" s="8">
        <v>2453.41</v>
      </c>
      <c r="F39" s="69"/>
      <c r="G39" s="2" t="s">
        <v>23</v>
      </c>
    </row>
    <row r="40" spans="1:9" ht="12.75" thickBot="1" x14ac:dyDescent="0.25">
      <c r="A40" s="85"/>
      <c r="B40" s="83"/>
      <c r="C40" s="85"/>
      <c r="D40" s="83"/>
      <c r="E40" s="18">
        <v>411</v>
      </c>
      <c r="F40" s="83"/>
      <c r="G40" s="32" t="s">
        <v>81</v>
      </c>
    </row>
    <row r="41" spans="1:9" x14ac:dyDescent="0.2">
      <c r="A41" s="37">
        <v>26</v>
      </c>
      <c r="B41" s="33" t="s">
        <v>862</v>
      </c>
      <c r="C41" s="42" t="s">
        <v>863</v>
      </c>
      <c r="D41" s="33" t="s">
        <v>864</v>
      </c>
      <c r="E41" s="17">
        <v>81</v>
      </c>
      <c r="F41" s="33" t="s">
        <v>10</v>
      </c>
      <c r="G41" s="34" t="s">
        <v>192</v>
      </c>
    </row>
    <row r="42" spans="1:9" x14ac:dyDescent="0.2">
      <c r="A42" s="11">
        <v>27</v>
      </c>
      <c r="B42" s="5" t="s">
        <v>550</v>
      </c>
      <c r="C42" s="11">
        <v>22911773746</v>
      </c>
      <c r="D42" s="5" t="s">
        <v>551</v>
      </c>
      <c r="E42" s="8">
        <f>4556.25+292.5</f>
        <v>4848.75</v>
      </c>
      <c r="F42" s="5" t="s">
        <v>10</v>
      </c>
      <c r="G42" s="2" t="s">
        <v>23</v>
      </c>
    </row>
    <row r="43" spans="1:9" x14ac:dyDescent="0.2">
      <c r="A43" s="11">
        <v>28</v>
      </c>
      <c r="B43" s="5" t="s">
        <v>88</v>
      </c>
      <c r="C43" s="11">
        <v>42889250808</v>
      </c>
      <c r="D43" s="5" t="s">
        <v>90</v>
      </c>
      <c r="E43" s="8">
        <v>71.36</v>
      </c>
      <c r="F43" s="5" t="s">
        <v>10</v>
      </c>
      <c r="G43" s="2" t="s">
        <v>86</v>
      </c>
    </row>
    <row r="44" spans="1:9" x14ac:dyDescent="0.2">
      <c r="A44" s="11">
        <v>29</v>
      </c>
      <c r="B44" s="5" t="s">
        <v>87</v>
      </c>
      <c r="C44" s="12" t="s">
        <v>92</v>
      </c>
      <c r="D44" s="5" t="s">
        <v>91</v>
      </c>
      <c r="E44" s="8">
        <v>647.08000000000004</v>
      </c>
      <c r="F44" s="5" t="s">
        <v>10</v>
      </c>
      <c r="G44" s="2" t="s">
        <v>86</v>
      </c>
    </row>
    <row r="45" spans="1:9" x14ac:dyDescent="0.2">
      <c r="A45" s="11">
        <v>30</v>
      </c>
      <c r="B45" s="5" t="s">
        <v>144</v>
      </c>
      <c r="C45" s="11" t="s">
        <v>740</v>
      </c>
      <c r="D45" s="5" t="s">
        <v>740</v>
      </c>
      <c r="E45" s="8">
        <v>1806.35</v>
      </c>
      <c r="F45" s="5" t="s">
        <v>10</v>
      </c>
      <c r="G45" s="2" t="s">
        <v>859</v>
      </c>
    </row>
    <row r="46" spans="1:9" x14ac:dyDescent="0.2">
      <c r="A46" s="11">
        <v>31</v>
      </c>
      <c r="B46" s="5" t="s">
        <v>17</v>
      </c>
      <c r="C46" s="11" t="s">
        <v>17</v>
      </c>
      <c r="D46" s="5" t="s">
        <v>17</v>
      </c>
      <c r="E46" s="8">
        <f>4333+88517</f>
        <v>92850</v>
      </c>
      <c r="F46" s="5" t="s">
        <v>10</v>
      </c>
      <c r="G46" s="2" t="s">
        <v>858</v>
      </c>
    </row>
    <row r="47" spans="1:9" x14ac:dyDescent="0.2">
      <c r="A47" s="11">
        <v>32</v>
      </c>
      <c r="B47" s="5" t="s">
        <v>100</v>
      </c>
      <c r="C47" s="11" t="s">
        <v>17</v>
      </c>
      <c r="D47" s="5" t="s">
        <v>17</v>
      </c>
      <c r="E47" s="8">
        <v>218.88</v>
      </c>
      <c r="F47" s="5" t="s">
        <v>10</v>
      </c>
      <c r="G47" s="2" t="s">
        <v>99</v>
      </c>
    </row>
    <row r="48" spans="1:9" x14ac:dyDescent="0.2">
      <c r="A48" s="11">
        <v>33</v>
      </c>
      <c r="B48" s="5" t="s">
        <v>17</v>
      </c>
      <c r="C48" s="11" t="s">
        <v>17</v>
      </c>
      <c r="D48" s="5" t="s">
        <v>17</v>
      </c>
      <c r="E48" s="8">
        <v>1064</v>
      </c>
      <c r="F48" s="5" t="s">
        <v>10</v>
      </c>
      <c r="G48" s="2" t="s">
        <v>101</v>
      </c>
    </row>
    <row r="49" spans="1:9" x14ac:dyDescent="0.2">
      <c r="A49" s="11">
        <v>34</v>
      </c>
      <c r="B49" s="5" t="s">
        <v>711</v>
      </c>
      <c r="C49" s="11">
        <v>33813961569</v>
      </c>
      <c r="D49" s="5" t="s">
        <v>712</v>
      </c>
      <c r="E49" s="8">
        <v>579.88</v>
      </c>
      <c r="F49" s="5" t="s">
        <v>10</v>
      </c>
      <c r="G49" s="2" t="s">
        <v>112</v>
      </c>
    </row>
    <row r="50" spans="1:9" x14ac:dyDescent="0.2">
      <c r="A50" s="11">
        <v>35</v>
      </c>
      <c r="B50" s="5" t="s">
        <v>865</v>
      </c>
      <c r="C50" s="12" t="s">
        <v>654</v>
      </c>
      <c r="D50" s="5" t="s">
        <v>653</v>
      </c>
      <c r="E50" s="8">
        <v>26669.4</v>
      </c>
      <c r="F50" s="5" t="s">
        <v>10</v>
      </c>
      <c r="G50" s="2" t="s">
        <v>66</v>
      </c>
    </row>
    <row r="51" spans="1:9" x14ac:dyDescent="0.2">
      <c r="A51" s="11">
        <v>36</v>
      </c>
      <c r="B51" s="5" t="s">
        <v>17</v>
      </c>
      <c r="C51" s="11" t="s">
        <v>17</v>
      </c>
      <c r="D51" s="5" t="s">
        <v>17</v>
      </c>
      <c r="E51" s="8">
        <v>2232.9</v>
      </c>
      <c r="F51" s="5" t="s">
        <v>10</v>
      </c>
      <c r="G51" s="2" t="s">
        <v>107</v>
      </c>
    </row>
    <row r="52" spans="1:9" x14ac:dyDescent="0.2">
      <c r="A52" s="11">
        <v>37</v>
      </c>
      <c r="B52" s="5" t="s">
        <v>109</v>
      </c>
      <c r="C52" s="11">
        <v>32179081874</v>
      </c>
      <c r="D52" s="5" t="s">
        <v>110</v>
      </c>
      <c r="E52" s="15">
        <f>4.48+1803.89</f>
        <v>1808.3700000000001</v>
      </c>
      <c r="F52" s="19" t="s">
        <v>10</v>
      </c>
      <c r="G52" s="28" t="s">
        <v>108</v>
      </c>
    </row>
    <row r="53" spans="1:9" x14ac:dyDescent="0.2">
      <c r="A53" s="11">
        <v>38</v>
      </c>
      <c r="B53" s="23" t="s">
        <v>113</v>
      </c>
      <c r="C53" s="24">
        <v>76173743169</v>
      </c>
      <c r="D53" s="23" t="s">
        <v>111</v>
      </c>
      <c r="E53" s="8">
        <v>653.57000000000005</v>
      </c>
      <c r="F53" s="23" t="s">
        <v>10</v>
      </c>
      <c r="G53" s="2" t="s">
        <v>108</v>
      </c>
    </row>
    <row r="54" spans="1:9" ht="12.75" thickBot="1" x14ac:dyDescent="0.25">
      <c r="A54" s="11">
        <v>39</v>
      </c>
      <c r="B54" s="19" t="s">
        <v>114</v>
      </c>
      <c r="C54" s="43" t="s">
        <v>116</v>
      </c>
      <c r="D54" s="19" t="s">
        <v>117</v>
      </c>
      <c r="E54" s="15">
        <v>957.01</v>
      </c>
      <c r="F54" s="19" t="s">
        <v>10</v>
      </c>
      <c r="G54" s="28" t="s">
        <v>115</v>
      </c>
    </row>
    <row r="55" spans="1:9" x14ac:dyDescent="0.2">
      <c r="A55" s="84">
        <v>40</v>
      </c>
      <c r="B55" s="82" t="s">
        <v>119</v>
      </c>
      <c r="C55" s="84">
        <v>34976993601</v>
      </c>
      <c r="D55" s="82" t="s">
        <v>120</v>
      </c>
      <c r="E55" s="16">
        <f>560.45</f>
        <v>560.45000000000005</v>
      </c>
      <c r="F55" s="82" t="s">
        <v>10</v>
      </c>
      <c r="G55" s="31" t="s">
        <v>118</v>
      </c>
    </row>
    <row r="56" spans="1:9" ht="12.75" thickBot="1" x14ac:dyDescent="0.25">
      <c r="A56" s="85"/>
      <c r="B56" s="83"/>
      <c r="C56" s="85"/>
      <c r="D56" s="83"/>
      <c r="E56" s="18">
        <f>77.89+74.93</f>
        <v>152.82</v>
      </c>
      <c r="F56" s="83"/>
      <c r="G56" s="32" t="s">
        <v>287</v>
      </c>
    </row>
    <row r="57" spans="1:9" x14ac:dyDescent="0.2">
      <c r="A57" s="37">
        <v>41</v>
      </c>
      <c r="B57" s="33" t="s">
        <v>17</v>
      </c>
      <c r="C57" s="37" t="s">
        <v>17</v>
      </c>
      <c r="D57" s="33" t="s">
        <v>17</v>
      </c>
      <c r="E57" s="17">
        <v>1753.09</v>
      </c>
      <c r="F57" s="33" t="s">
        <v>10</v>
      </c>
      <c r="G57" s="34" t="s">
        <v>121</v>
      </c>
    </row>
    <row r="58" spans="1:9" x14ac:dyDescent="0.2">
      <c r="A58" s="11">
        <v>42</v>
      </c>
      <c r="B58" s="5" t="s">
        <v>17</v>
      </c>
      <c r="C58" s="11" t="s">
        <v>17</v>
      </c>
      <c r="D58" s="5" t="s">
        <v>17</v>
      </c>
      <c r="E58" s="8">
        <v>21990.99</v>
      </c>
      <c r="F58" s="5" t="s">
        <v>10</v>
      </c>
      <c r="G58" s="2" t="s">
        <v>122</v>
      </c>
    </row>
    <row r="59" spans="1:9" x14ac:dyDescent="0.2">
      <c r="A59" s="11">
        <v>43</v>
      </c>
      <c r="B59" s="5" t="s">
        <v>17</v>
      </c>
      <c r="C59" s="11" t="s">
        <v>17</v>
      </c>
      <c r="D59" s="5" t="s">
        <v>17</v>
      </c>
      <c r="E59" s="8">
        <f>560</f>
        <v>560</v>
      </c>
      <c r="F59" s="5" t="s">
        <v>10</v>
      </c>
      <c r="G59" s="2" t="s">
        <v>123</v>
      </c>
    </row>
    <row r="60" spans="1:9" x14ac:dyDescent="0.2">
      <c r="A60" s="11">
        <v>44</v>
      </c>
      <c r="B60" s="5" t="s">
        <v>866</v>
      </c>
      <c r="C60" s="11">
        <v>83335303054</v>
      </c>
      <c r="D60" s="5" t="s">
        <v>867</v>
      </c>
      <c r="E60" s="8">
        <v>1650</v>
      </c>
      <c r="F60" s="5" t="s">
        <v>10</v>
      </c>
      <c r="G60" s="2" t="s">
        <v>637</v>
      </c>
    </row>
    <row r="61" spans="1:9" x14ac:dyDescent="0.2">
      <c r="A61" s="11">
        <v>45</v>
      </c>
      <c r="B61" s="5" t="s">
        <v>732</v>
      </c>
      <c r="C61" s="11">
        <v>80972836106</v>
      </c>
      <c r="D61" s="5" t="s">
        <v>733</v>
      </c>
      <c r="E61" s="8">
        <v>186.7</v>
      </c>
      <c r="F61" s="5" t="s">
        <v>10</v>
      </c>
      <c r="G61" s="2" t="s">
        <v>173</v>
      </c>
    </row>
    <row r="62" spans="1:9" x14ac:dyDescent="0.2">
      <c r="A62" s="11">
        <v>46</v>
      </c>
      <c r="B62" s="23" t="s">
        <v>131</v>
      </c>
      <c r="C62" s="24">
        <v>70133616033</v>
      </c>
      <c r="D62" s="23" t="s">
        <v>134</v>
      </c>
      <c r="E62" s="8">
        <v>8925.75</v>
      </c>
      <c r="F62" s="23" t="s">
        <v>10</v>
      </c>
      <c r="G62" s="2" t="s">
        <v>292</v>
      </c>
    </row>
    <row r="63" spans="1:9" x14ac:dyDescent="0.2">
      <c r="A63" s="11">
        <v>47</v>
      </c>
      <c r="B63" s="23" t="s">
        <v>132</v>
      </c>
      <c r="C63" s="24">
        <v>81793146560</v>
      </c>
      <c r="D63" s="23" t="s">
        <v>133</v>
      </c>
      <c r="E63" s="8">
        <v>1966.85</v>
      </c>
      <c r="F63" s="5" t="s">
        <v>10</v>
      </c>
      <c r="G63" s="2" t="s">
        <v>292</v>
      </c>
    </row>
    <row r="64" spans="1:9" x14ac:dyDescent="0.2">
      <c r="A64" s="11">
        <v>48</v>
      </c>
      <c r="B64" s="5" t="s">
        <v>846</v>
      </c>
      <c r="C64" s="11">
        <v>51469557335</v>
      </c>
      <c r="D64" s="5" t="s">
        <v>847</v>
      </c>
      <c r="E64" s="8">
        <v>39.69</v>
      </c>
      <c r="F64" s="5" t="s">
        <v>10</v>
      </c>
      <c r="G64" s="2" t="s">
        <v>23</v>
      </c>
      <c r="I64" s="13"/>
    </row>
    <row r="65" spans="1:9" x14ac:dyDescent="0.2">
      <c r="A65" s="11">
        <v>49</v>
      </c>
      <c r="B65" s="5" t="s">
        <v>329</v>
      </c>
      <c r="C65" s="11">
        <v>84523433179</v>
      </c>
      <c r="D65" s="5" t="s">
        <v>331</v>
      </c>
      <c r="E65" s="8">
        <v>80</v>
      </c>
      <c r="F65" s="5" t="s">
        <v>10</v>
      </c>
      <c r="G65" s="2" t="s">
        <v>330</v>
      </c>
    </row>
    <row r="66" spans="1:9" x14ac:dyDescent="0.2">
      <c r="A66" s="11">
        <v>50</v>
      </c>
      <c r="B66" s="5" t="s">
        <v>870</v>
      </c>
      <c r="C66" s="12">
        <v>34683682958</v>
      </c>
      <c r="D66" s="5" t="s">
        <v>545</v>
      </c>
      <c r="E66" s="8">
        <v>49.28</v>
      </c>
      <c r="F66" s="5" t="s">
        <v>10</v>
      </c>
      <c r="G66" s="2" t="s">
        <v>330</v>
      </c>
    </row>
    <row r="67" spans="1:9" x14ac:dyDescent="0.2">
      <c r="A67" s="11">
        <v>51</v>
      </c>
      <c r="B67" s="5" t="s">
        <v>138</v>
      </c>
      <c r="C67" s="11">
        <v>46163832762</v>
      </c>
      <c r="D67" s="5" t="s">
        <v>202</v>
      </c>
      <c r="E67" s="8">
        <v>179.01</v>
      </c>
      <c r="F67" s="5" t="s">
        <v>10</v>
      </c>
      <c r="G67" s="2" t="s">
        <v>112</v>
      </c>
    </row>
    <row r="68" spans="1:9" x14ac:dyDescent="0.2">
      <c r="A68" s="11">
        <v>52</v>
      </c>
      <c r="B68" s="5" t="s">
        <v>140</v>
      </c>
      <c r="C68" s="11">
        <v>41412434130</v>
      </c>
      <c r="D68" s="5" t="s">
        <v>197</v>
      </c>
      <c r="E68" s="8">
        <v>67.28</v>
      </c>
      <c r="F68" s="5" t="s">
        <v>10</v>
      </c>
      <c r="G68" s="2" t="s">
        <v>112</v>
      </c>
    </row>
    <row r="69" spans="1:9" x14ac:dyDescent="0.2">
      <c r="A69" s="11">
        <v>53</v>
      </c>
      <c r="B69" s="5" t="s">
        <v>855</v>
      </c>
      <c r="C69" s="11">
        <v>41317489366</v>
      </c>
      <c r="D69" s="5" t="s">
        <v>856</v>
      </c>
      <c r="E69" s="8">
        <v>8339.11</v>
      </c>
      <c r="F69" s="5" t="s">
        <v>10</v>
      </c>
      <c r="G69" s="2" t="s">
        <v>263</v>
      </c>
      <c r="I69" s="13"/>
    </row>
    <row r="70" spans="1:9" x14ac:dyDescent="0.2">
      <c r="A70" s="11">
        <v>54</v>
      </c>
      <c r="B70" s="5" t="s">
        <v>142</v>
      </c>
      <c r="C70" s="12" t="s">
        <v>203</v>
      </c>
      <c r="D70" s="5" t="s">
        <v>204</v>
      </c>
      <c r="E70" s="8">
        <v>158.69999999999999</v>
      </c>
      <c r="F70" s="5" t="s">
        <v>10</v>
      </c>
      <c r="G70" s="2" t="s">
        <v>112</v>
      </c>
    </row>
    <row r="71" spans="1:9" x14ac:dyDescent="0.2">
      <c r="A71" s="11">
        <v>55</v>
      </c>
      <c r="B71" s="5" t="s">
        <v>143</v>
      </c>
      <c r="C71" s="11">
        <v>85584865987</v>
      </c>
      <c r="D71" s="5" t="s">
        <v>205</v>
      </c>
      <c r="E71" s="8">
        <v>128.74</v>
      </c>
      <c r="F71" s="5" t="s">
        <v>10</v>
      </c>
      <c r="G71" s="2" t="s">
        <v>112</v>
      </c>
    </row>
    <row r="72" spans="1:9" x14ac:dyDescent="0.2">
      <c r="A72" s="11">
        <v>56</v>
      </c>
      <c r="B72" s="5" t="s">
        <v>144</v>
      </c>
      <c r="C72" s="11" t="s">
        <v>740</v>
      </c>
      <c r="D72" s="5" t="s">
        <v>740</v>
      </c>
      <c r="E72" s="8">
        <v>672</v>
      </c>
      <c r="F72" s="5" t="s">
        <v>10</v>
      </c>
      <c r="G72" s="2" t="s">
        <v>145</v>
      </c>
    </row>
    <row r="73" spans="1:9" x14ac:dyDescent="0.2">
      <c r="A73" s="11">
        <v>57</v>
      </c>
      <c r="B73" s="5" t="s">
        <v>848</v>
      </c>
      <c r="C73" s="11">
        <v>56696870950</v>
      </c>
      <c r="D73" s="5" t="s">
        <v>849</v>
      </c>
      <c r="E73" s="8">
        <f>9.6+9.72</f>
        <v>19.32</v>
      </c>
      <c r="F73" s="5" t="s">
        <v>10</v>
      </c>
      <c r="G73" s="2" t="s">
        <v>23</v>
      </c>
    </row>
    <row r="74" spans="1:9" x14ac:dyDescent="0.2">
      <c r="A74" s="11">
        <v>58</v>
      </c>
      <c r="B74" s="5" t="s">
        <v>868</v>
      </c>
      <c r="C74" s="11">
        <v>11374156664</v>
      </c>
      <c r="D74" s="5" t="s">
        <v>869</v>
      </c>
      <c r="E74" s="8">
        <v>965.53</v>
      </c>
      <c r="F74" s="5" t="s">
        <v>10</v>
      </c>
      <c r="G74" s="2" t="s">
        <v>23</v>
      </c>
    </row>
    <row r="75" spans="1:9" x14ac:dyDescent="0.2">
      <c r="A75" s="11">
        <v>59</v>
      </c>
      <c r="B75" s="5" t="s">
        <v>663</v>
      </c>
      <c r="C75" s="11">
        <v>42211007051</v>
      </c>
      <c r="D75" s="5" t="s">
        <v>664</v>
      </c>
      <c r="E75" s="8">
        <v>701</v>
      </c>
      <c r="F75" s="5" t="s">
        <v>10</v>
      </c>
      <c r="G75" s="2" t="s">
        <v>287</v>
      </c>
    </row>
    <row r="76" spans="1:9" x14ac:dyDescent="0.2">
      <c r="A76" s="11">
        <v>60</v>
      </c>
      <c r="B76" s="5" t="s">
        <v>738</v>
      </c>
      <c r="C76" s="11">
        <v>77170927797</v>
      </c>
      <c r="D76" s="5" t="s">
        <v>739</v>
      </c>
      <c r="E76" s="8">
        <v>120.98</v>
      </c>
      <c r="F76" s="5" t="s">
        <v>10</v>
      </c>
      <c r="G76" s="2" t="s">
        <v>23</v>
      </c>
    </row>
    <row r="77" spans="1:9" x14ac:dyDescent="0.2">
      <c r="A77" s="11">
        <v>61</v>
      </c>
      <c r="B77" s="5" t="s">
        <v>698</v>
      </c>
      <c r="C77" s="11">
        <v>41921055528</v>
      </c>
      <c r="D77" s="5" t="s">
        <v>699</v>
      </c>
      <c r="E77" s="8">
        <v>207</v>
      </c>
      <c r="F77" s="5" t="s">
        <v>10</v>
      </c>
      <c r="G77" s="2" t="s">
        <v>147</v>
      </c>
    </row>
    <row r="78" spans="1:9" x14ac:dyDescent="0.2">
      <c r="A78" s="11">
        <v>62</v>
      </c>
      <c r="B78" s="5" t="s">
        <v>741</v>
      </c>
      <c r="C78" s="12" t="s">
        <v>743</v>
      </c>
      <c r="D78" s="5" t="s">
        <v>742</v>
      </c>
      <c r="E78" s="8">
        <v>173.75</v>
      </c>
      <c r="F78" s="5" t="s">
        <v>10</v>
      </c>
      <c r="G78" s="2" t="s">
        <v>505</v>
      </c>
    </row>
    <row r="79" spans="1:9" x14ac:dyDescent="0.2">
      <c r="A79" s="11">
        <v>63</v>
      </c>
      <c r="B79" s="5" t="s">
        <v>857</v>
      </c>
      <c r="C79" s="11">
        <v>29035933600</v>
      </c>
      <c r="D79" s="5" t="s">
        <v>447</v>
      </c>
      <c r="E79" s="8">
        <v>47342.7</v>
      </c>
      <c r="F79" s="5" t="s">
        <v>10</v>
      </c>
      <c r="G79" s="2" t="s">
        <v>263</v>
      </c>
    </row>
    <row r="80" spans="1:9" x14ac:dyDescent="0.2">
      <c r="A80" s="11">
        <v>64</v>
      </c>
      <c r="B80" s="5" t="s">
        <v>155</v>
      </c>
      <c r="C80" s="11">
        <v>55326209639</v>
      </c>
      <c r="D80" s="5" t="s">
        <v>214</v>
      </c>
      <c r="E80" s="8">
        <v>243.8</v>
      </c>
      <c r="F80" s="5" t="s">
        <v>10</v>
      </c>
      <c r="G80" s="2" t="s">
        <v>23</v>
      </c>
    </row>
    <row r="81" spans="1:9" x14ac:dyDescent="0.2">
      <c r="A81" s="11">
        <v>65</v>
      </c>
      <c r="B81" s="5" t="s">
        <v>872</v>
      </c>
      <c r="C81" s="11">
        <v>52398663574</v>
      </c>
      <c r="D81" s="5" t="s">
        <v>871</v>
      </c>
      <c r="E81" s="8">
        <v>1116.3499999999999</v>
      </c>
      <c r="F81" s="5" t="s">
        <v>10</v>
      </c>
      <c r="G81" s="2" t="s">
        <v>637</v>
      </c>
    </row>
    <row r="82" spans="1:9" x14ac:dyDescent="0.2">
      <c r="A82" s="11">
        <v>66</v>
      </c>
      <c r="B82" s="5" t="s">
        <v>157</v>
      </c>
      <c r="C82" s="11" t="s">
        <v>216</v>
      </c>
      <c r="D82" s="5" t="s">
        <v>158</v>
      </c>
      <c r="E82" s="8">
        <v>715</v>
      </c>
      <c r="F82" s="5" t="s">
        <v>10</v>
      </c>
      <c r="G82" s="2" t="s">
        <v>23</v>
      </c>
    </row>
    <row r="83" spans="1:9" x14ac:dyDescent="0.2">
      <c r="A83" s="11">
        <v>67</v>
      </c>
      <c r="B83" s="5" t="s">
        <v>159</v>
      </c>
      <c r="C83" s="11">
        <v>64862538713</v>
      </c>
      <c r="D83" s="5" t="s">
        <v>217</v>
      </c>
      <c r="E83" s="8">
        <v>3.13</v>
      </c>
      <c r="F83" s="5" t="s">
        <v>10</v>
      </c>
      <c r="G83" s="2" t="s">
        <v>23</v>
      </c>
    </row>
    <row r="84" spans="1:9" x14ac:dyDescent="0.2">
      <c r="A84" s="11">
        <v>68</v>
      </c>
      <c r="B84" s="5" t="s">
        <v>850</v>
      </c>
      <c r="C84" s="11">
        <v>94989605030</v>
      </c>
      <c r="D84" s="5" t="s">
        <v>851</v>
      </c>
      <c r="E84" s="8">
        <f>103.32+22.14+275.15</f>
        <v>400.60999999999996</v>
      </c>
      <c r="F84" s="5" t="s">
        <v>10</v>
      </c>
      <c r="G84" s="2" t="s">
        <v>173</v>
      </c>
    </row>
    <row r="85" spans="1:9" x14ac:dyDescent="0.2">
      <c r="A85" s="11">
        <v>69</v>
      </c>
      <c r="B85" s="5" t="s">
        <v>162</v>
      </c>
      <c r="C85" s="11">
        <v>58353015102</v>
      </c>
      <c r="D85" s="5" t="s">
        <v>219</v>
      </c>
      <c r="E85" s="8">
        <v>3024.78</v>
      </c>
      <c r="F85" s="5" t="s">
        <v>10</v>
      </c>
      <c r="G85" s="2" t="s">
        <v>23</v>
      </c>
    </row>
    <row r="86" spans="1:9" x14ac:dyDescent="0.2">
      <c r="A86" s="11">
        <v>70</v>
      </c>
      <c r="B86" s="5" t="s">
        <v>305</v>
      </c>
      <c r="C86" s="11" t="s">
        <v>307</v>
      </c>
      <c r="D86" s="5" t="s">
        <v>306</v>
      </c>
      <c r="E86" s="8">
        <v>2971.98</v>
      </c>
      <c r="F86" s="5" t="s">
        <v>10</v>
      </c>
      <c r="G86" s="2" t="s">
        <v>23</v>
      </c>
    </row>
    <row r="87" spans="1:9" x14ac:dyDescent="0.2">
      <c r="A87" s="11">
        <v>71</v>
      </c>
      <c r="B87" s="5" t="s">
        <v>877</v>
      </c>
      <c r="C87" s="11">
        <v>82617270885</v>
      </c>
      <c r="D87" s="5" t="s">
        <v>878</v>
      </c>
      <c r="E87" s="8">
        <v>62.5</v>
      </c>
      <c r="F87" s="5" t="s">
        <v>10</v>
      </c>
      <c r="G87" s="2" t="s">
        <v>23</v>
      </c>
    </row>
    <row r="88" spans="1:9" x14ac:dyDescent="0.2">
      <c r="A88" s="11">
        <v>72</v>
      </c>
      <c r="B88" s="5" t="s">
        <v>165</v>
      </c>
      <c r="C88" s="11">
        <v>62534176727</v>
      </c>
      <c r="D88" s="5" t="s">
        <v>222</v>
      </c>
      <c r="E88" s="8">
        <v>796.5</v>
      </c>
      <c r="F88" s="5" t="s">
        <v>10</v>
      </c>
      <c r="G88" s="2" t="s">
        <v>23</v>
      </c>
    </row>
    <row r="89" spans="1:9" x14ac:dyDescent="0.2">
      <c r="A89" s="11">
        <v>73</v>
      </c>
      <c r="B89" s="5" t="s">
        <v>658</v>
      </c>
      <c r="C89" s="11">
        <v>24846301629</v>
      </c>
      <c r="D89" s="5" t="s">
        <v>659</v>
      </c>
      <c r="E89" s="15">
        <v>348.01</v>
      </c>
      <c r="F89" s="19" t="s">
        <v>10</v>
      </c>
      <c r="G89" s="28" t="s">
        <v>23</v>
      </c>
    </row>
    <row r="90" spans="1:9" x14ac:dyDescent="0.2">
      <c r="A90" s="11">
        <v>74</v>
      </c>
      <c r="B90" s="23" t="s">
        <v>168</v>
      </c>
      <c r="C90" s="24">
        <v>87682591133</v>
      </c>
      <c r="D90" s="23" t="s">
        <v>223</v>
      </c>
      <c r="E90" s="15">
        <v>4523.41</v>
      </c>
      <c r="F90" s="23" t="s">
        <v>10</v>
      </c>
      <c r="G90" s="2" t="s">
        <v>23</v>
      </c>
      <c r="I90" s="13"/>
    </row>
    <row r="91" spans="1:9" x14ac:dyDescent="0.2">
      <c r="A91" s="11">
        <v>75</v>
      </c>
      <c r="B91" s="5" t="s">
        <v>169</v>
      </c>
      <c r="C91" s="11">
        <v>19849957757</v>
      </c>
      <c r="D91" s="5" t="s">
        <v>225</v>
      </c>
      <c r="E91" s="8">
        <v>2365.73</v>
      </c>
      <c r="F91" s="5" t="s">
        <v>10</v>
      </c>
      <c r="G91" s="34" t="s">
        <v>23</v>
      </c>
    </row>
    <row r="92" spans="1:9" x14ac:dyDescent="0.2">
      <c r="A92" s="11">
        <v>76</v>
      </c>
      <c r="B92" s="5" t="s">
        <v>170</v>
      </c>
      <c r="C92" s="11">
        <v>52233171260</v>
      </c>
      <c r="D92" s="5" t="s">
        <v>224</v>
      </c>
      <c r="E92" s="8">
        <v>14327.5</v>
      </c>
      <c r="F92" s="5" t="s">
        <v>10</v>
      </c>
      <c r="G92" s="2" t="s">
        <v>23</v>
      </c>
    </row>
    <row r="93" spans="1:9" x14ac:dyDescent="0.2">
      <c r="A93" s="11">
        <v>77</v>
      </c>
      <c r="B93" s="27" t="s">
        <v>172</v>
      </c>
      <c r="C93" s="26">
        <v>80572192786</v>
      </c>
      <c r="D93" s="27" t="s">
        <v>226</v>
      </c>
      <c r="E93" s="8">
        <v>35</v>
      </c>
      <c r="F93" s="27" t="s">
        <v>10</v>
      </c>
      <c r="G93" s="2" t="s">
        <v>23</v>
      </c>
    </row>
    <row r="94" spans="1:9" x14ac:dyDescent="0.2">
      <c r="A94" s="11">
        <v>78</v>
      </c>
      <c r="B94" s="5" t="s">
        <v>174</v>
      </c>
      <c r="C94" s="11">
        <v>79517545745</v>
      </c>
      <c r="D94" s="5" t="s">
        <v>227</v>
      </c>
      <c r="E94" s="8">
        <v>58.2</v>
      </c>
      <c r="F94" s="5" t="s">
        <v>10</v>
      </c>
      <c r="G94" s="2" t="s">
        <v>176</v>
      </c>
    </row>
    <row r="95" spans="1:9" x14ac:dyDescent="0.2">
      <c r="A95" s="11">
        <v>79</v>
      </c>
      <c r="B95" s="5" t="s">
        <v>879</v>
      </c>
      <c r="C95" s="11">
        <v>13865248398</v>
      </c>
      <c r="D95" s="5" t="s">
        <v>880</v>
      </c>
      <c r="E95" s="8">
        <v>495</v>
      </c>
      <c r="F95" s="5" t="s">
        <v>10</v>
      </c>
      <c r="G95" s="2" t="s">
        <v>260</v>
      </c>
    </row>
    <row r="96" spans="1:9" x14ac:dyDescent="0.2">
      <c r="A96" s="11">
        <v>80</v>
      </c>
      <c r="B96" s="5" t="s">
        <v>17</v>
      </c>
      <c r="C96" s="11" t="s">
        <v>17</v>
      </c>
      <c r="D96" s="5" t="s">
        <v>17</v>
      </c>
      <c r="E96" s="8">
        <f>1400+1400</f>
        <v>2800</v>
      </c>
      <c r="F96" s="5" t="s">
        <v>10</v>
      </c>
      <c r="G96" s="2" t="s">
        <v>177</v>
      </c>
    </row>
    <row r="97" spans="1:7" ht="12.75" thickBot="1" x14ac:dyDescent="0.25">
      <c r="A97" s="11">
        <v>81</v>
      </c>
      <c r="B97" s="19" t="s">
        <v>17</v>
      </c>
      <c r="C97" s="36" t="s">
        <v>17</v>
      </c>
      <c r="D97" s="19" t="s">
        <v>17</v>
      </c>
      <c r="E97" s="15">
        <f>260+130+2097.6</f>
        <v>2487.6</v>
      </c>
      <c r="F97" s="19" t="s">
        <v>10</v>
      </c>
      <c r="G97" s="28" t="s">
        <v>178</v>
      </c>
    </row>
    <row r="98" spans="1:7" x14ac:dyDescent="0.2">
      <c r="A98" s="84">
        <v>82</v>
      </c>
      <c r="B98" s="82" t="s">
        <v>873</v>
      </c>
      <c r="C98" s="84" t="s">
        <v>874</v>
      </c>
      <c r="D98" s="82" t="s">
        <v>875</v>
      </c>
      <c r="E98" s="16">
        <v>12079</v>
      </c>
      <c r="F98" s="30" t="s">
        <v>10</v>
      </c>
      <c r="G98" s="31" t="s">
        <v>147</v>
      </c>
    </row>
    <row r="99" spans="1:7" ht="12.75" thickBot="1" x14ac:dyDescent="0.25">
      <c r="A99" s="85"/>
      <c r="B99" s="83"/>
      <c r="C99" s="85"/>
      <c r="D99" s="83"/>
      <c r="E99" s="18">
        <v>5574</v>
      </c>
      <c r="F99" s="35" t="s">
        <v>10</v>
      </c>
      <c r="G99" s="32" t="s">
        <v>23</v>
      </c>
    </row>
    <row r="100" spans="1:7" ht="12.75" thickBot="1" x14ac:dyDescent="0.25">
      <c r="A100" s="39">
        <v>83</v>
      </c>
      <c r="B100" s="40" t="s">
        <v>230</v>
      </c>
      <c r="C100" s="39">
        <v>62969535840</v>
      </c>
      <c r="D100" s="40" t="s">
        <v>231</v>
      </c>
      <c r="E100" s="20">
        <v>799.91</v>
      </c>
      <c r="F100" s="40" t="s">
        <v>10</v>
      </c>
      <c r="G100" s="41" t="s">
        <v>23</v>
      </c>
    </row>
    <row r="101" spans="1:7" x14ac:dyDescent="0.2">
      <c r="A101" s="84">
        <v>84</v>
      </c>
      <c r="B101" s="82" t="s">
        <v>181</v>
      </c>
      <c r="C101" s="84">
        <v>71642207963</v>
      </c>
      <c r="D101" s="82" t="s">
        <v>232</v>
      </c>
      <c r="E101" s="16">
        <f>132.59+14.17+167.9</f>
        <v>314.65999999999997</v>
      </c>
      <c r="F101" s="82" t="s">
        <v>10</v>
      </c>
      <c r="G101" s="31" t="s">
        <v>23</v>
      </c>
    </row>
    <row r="102" spans="1:7" ht="12.75" thickBot="1" x14ac:dyDescent="0.25">
      <c r="A102" s="85"/>
      <c r="B102" s="83"/>
      <c r="C102" s="85"/>
      <c r="D102" s="83"/>
      <c r="E102" s="18">
        <f>89.5+150.56+106.19</f>
        <v>346.25</v>
      </c>
      <c r="F102" s="83"/>
      <c r="G102" s="32" t="s">
        <v>287</v>
      </c>
    </row>
    <row r="103" spans="1:7" x14ac:dyDescent="0.2">
      <c r="A103" s="37">
        <v>85</v>
      </c>
      <c r="B103" s="33" t="s">
        <v>182</v>
      </c>
      <c r="C103" s="42" t="s">
        <v>234</v>
      </c>
      <c r="D103" s="33" t="s">
        <v>233</v>
      </c>
      <c r="E103" s="17">
        <v>705.14</v>
      </c>
      <c r="F103" s="33" t="s">
        <v>10</v>
      </c>
      <c r="G103" s="34" t="s">
        <v>23</v>
      </c>
    </row>
    <row r="104" spans="1:7" x14ac:dyDescent="0.2">
      <c r="A104" s="11">
        <v>86</v>
      </c>
      <c r="B104" s="5" t="s">
        <v>676</v>
      </c>
      <c r="C104" s="11" t="s">
        <v>677</v>
      </c>
      <c r="D104" s="5" t="s">
        <v>678</v>
      </c>
      <c r="E104" s="8">
        <v>159.30000000000001</v>
      </c>
      <c r="F104" s="5" t="s">
        <v>10</v>
      </c>
      <c r="G104" s="2" t="s">
        <v>23</v>
      </c>
    </row>
    <row r="105" spans="1:7" x14ac:dyDescent="0.2">
      <c r="A105" s="11">
        <v>87</v>
      </c>
      <c r="B105" s="5" t="s">
        <v>881</v>
      </c>
      <c r="C105" s="11" t="s">
        <v>883</v>
      </c>
      <c r="D105" s="5" t="s">
        <v>882</v>
      </c>
      <c r="E105" s="8">
        <v>1401.5</v>
      </c>
      <c r="F105" s="5" t="s">
        <v>10</v>
      </c>
      <c r="G105" s="2" t="s">
        <v>23</v>
      </c>
    </row>
    <row r="106" spans="1:7" x14ac:dyDescent="0.2">
      <c r="A106" s="11">
        <v>88</v>
      </c>
      <c r="B106" s="5" t="s">
        <v>185</v>
      </c>
      <c r="C106" s="11">
        <v>52848403362</v>
      </c>
      <c r="D106" s="5" t="s">
        <v>237</v>
      </c>
      <c r="E106" s="8">
        <v>1899</v>
      </c>
      <c r="F106" s="5" t="s">
        <v>10</v>
      </c>
      <c r="G106" s="2" t="s">
        <v>186</v>
      </c>
    </row>
    <row r="107" spans="1:7" x14ac:dyDescent="0.2">
      <c r="A107" s="11">
        <v>89</v>
      </c>
      <c r="B107" s="5" t="s">
        <v>884</v>
      </c>
      <c r="C107" s="11">
        <v>33956120458</v>
      </c>
      <c r="D107" s="5" t="s">
        <v>885</v>
      </c>
      <c r="E107" s="8">
        <v>77.91</v>
      </c>
      <c r="F107" s="5" t="s">
        <v>10</v>
      </c>
      <c r="G107" s="2" t="s">
        <v>23</v>
      </c>
    </row>
    <row r="108" spans="1:7" x14ac:dyDescent="0.2">
      <c r="A108" s="11">
        <v>90</v>
      </c>
      <c r="B108" s="5" t="s">
        <v>641</v>
      </c>
      <c r="C108" s="11">
        <v>60690477713</v>
      </c>
      <c r="D108" s="5" t="s">
        <v>520</v>
      </c>
      <c r="E108" s="15">
        <v>2158.7800000000002</v>
      </c>
      <c r="F108" s="19" t="s">
        <v>10</v>
      </c>
      <c r="G108" s="28" t="s">
        <v>23</v>
      </c>
    </row>
    <row r="109" spans="1:7" x14ac:dyDescent="0.2">
      <c r="A109" s="11">
        <v>91</v>
      </c>
      <c r="B109" s="23" t="s">
        <v>191</v>
      </c>
      <c r="C109" s="24">
        <v>34421776805</v>
      </c>
      <c r="D109" s="23" t="s">
        <v>240</v>
      </c>
      <c r="E109" s="8">
        <f>93.56+1919.31</f>
        <v>2012.87</v>
      </c>
      <c r="F109" s="44" t="s">
        <v>10</v>
      </c>
      <c r="G109" s="2" t="s">
        <v>192</v>
      </c>
    </row>
    <row r="110" spans="1:7" x14ac:dyDescent="0.2">
      <c r="A110" s="11">
        <v>92</v>
      </c>
      <c r="B110" s="5" t="s">
        <v>17</v>
      </c>
      <c r="C110" s="11" t="s">
        <v>17</v>
      </c>
      <c r="D110" s="5" t="s">
        <v>17</v>
      </c>
      <c r="E110" s="17">
        <v>47.2</v>
      </c>
      <c r="F110" s="33" t="s">
        <v>10</v>
      </c>
      <c r="G110" s="34" t="s">
        <v>635</v>
      </c>
    </row>
    <row r="111" spans="1:7" x14ac:dyDescent="0.2">
      <c r="A111" s="11">
        <v>93</v>
      </c>
      <c r="B111" s="5" t="s">
        <v>17</v>
      </c>
      <c r="C111" s="11" t="s">
        <v>17</v>
      </c>
      <c r="D111" s="5" t="s">
        <v>17</v>
      </c>
      <c r="E111" s="8">
        <v>413.44</v>
      </c>
      <c r="F111" s="5" t="s">
        <v>10</v>
      </c>
      <c r="G111" s="2" t="s">
        <v>194</v>
      </c>
    </row>
    <row r="112" spans="1:7" x14ac:dyDescent="0.2">
      <c r="A112" s="11">
        <v>94</v>
      </c>
      <c r="B112" s="5" t="s">
        <v>886</v>
      </c>
      <c r="C112" s="11">
        <v>98352441242</v>
      </c>
      <c r="D112" s="5" t="s">
        <v>887</v>
      </c>
      <c r="E112" s="8">
        <v>725.4</v>
      </c>
      <c r="F112" s="5" t="s">
        <v>10</v>
      </c>
      <c r="G112" s="2" t="s">
        <v>637</v>
      </c>
    </row>
    <row r="113" spans="1:9" x14ac:dyDescent="0.2">
      <c r="A113" s="11">
        <v>95</v>
      </c>
      <c r="B113" s="5" t="s">
        <v>399</v>
      </c>
      <c r="C113" s="11">
        <v>70140364776</v>
      </c>
      <c r="D113" s="5" t="s">
        <v>400</v>
      </c>
      <c r="E113" s="8">
        <v>4464.43</v>
      </c>
      <c r="F113" s="5" t="s">
        <v>10</v>
      </c>
      <c r="G113" s="2" t="s">
        <v>263</v>
      </c>
    </row>
    <row r="114" spans="1:9" x14ac:dyDescent="0.2">
      <c r="A114" s="11">
        <v>96</v>
      </c>
      <c r="B114" s="5" t="s">
        <v>242</v>
      </c>
      <c r="C114" s="11">
        <v>49800593791</v>
      </c>
      <c r="D114" s="5" t="s">
        <v>244</v>
      </c>
      <c r="E114" s="8">
        <v>9581</v>
      </c>
      <c r="F114" s="5" t="s">
        <v>10</v>
      </c>
      <c r="G114" s="2" t="s">
        <v>243</v>
      </c>
    </row>
    <row r="115" spans="1:9" ht="12.75" thickBot="1" x14ac:dyDescent="0.25">
      <c r="A115" s="11">
        <v>97</v>
      </c>
      <c r="B115" s="19" t="s">
        <v>245</v>
      </c>
      <c r="C115" s="36">
        <v>48491501393</v>
      </c>
      <c r="D115" s="19" t="s">
        <v>246</v>
      </c>
      <c r="E115" s="15">
        <v>1483.08</v>
      </c>
      <c r="F115" s="19" t="s">
        <v>10</v>
      </c>
      <c r="G115" s="28" t="s">
        <v>23</v>
      </c>
      <c r="H115" s="13"/>
    </row>
    <row r="116" spans="1:9" x14ac:dyDescent="0.2">
      <c r="A116" s="84">
        <v>98</v>
      </c>
      <c r="B116" s="82" t="s">
        <v>248</v>
      </c>
      <c r="C116" s="84">
        <v>47428597158</v>
      </c>
      <c r="D116" s="82" t="s">
        <v>250</v>
      </c>
      <c r="E116" s="16">
        <v>3777.9</v>
      </c>
      <c r="F116" s="82" t="s">
        <v>10</v>
      </c>
      <c r="G116" s="31" t="s">
        <v>23</v>
      </c>
      <c r="I116" s="13"/>
    </row>
    <row r="117" spans="1:9" ht="12.75" thickBot="1" x14ac:dyDescent="0.25">
      <c r="A117" s="85"/>
      <c r="B117" s="83"/>
      <c r="C117" s="85"/>
      <c r="D117" s="83"/>
      <c r="E117" s="18">
        <v>953.03</v>
      </c>
      <c r="F117" s="83"/>
      <c r="G117" s="32" t="s">
        <v>247</v>
      </c>
    </row>
    <row r="118" spans="1:9" x14ac:dyDescent="0.2">
      <c r="A118" s="37">
        <v>99</v>
      </c>
      <c r="B118" s="33" t="s">
        <v>888</v>
      </c>
      <c r="C118" s="37">
        <v>45875673150</v>
      </c>
      <c r="D118" s="33" t="s">
        <v>889</v>
      </c>
      <c r="E118" s="17">
        <v>618</v>
      </c>
      <c r="F118" s="33" t="s">
        <v>10</v>
      </c>
      <c r="G118" s="34" t="s">
        <v>791</v>
      </c>
    </row>
    <row r="119" spans="1:9" x14ac:dyDescent="0.2">
      <c r="A119" s="11">
        <v>100</v>
      </c>
      <c r="B119" s="5" t="s">
        <v>252</v>
      </c>
      <c r="C119" s="12" t="s">
        <v>254</v>
      </c>
      <c r="D119" s="5" t="s">
        <v>253</v>
      </c>
      <c r="E119" s="8">
        <f>316.75+35.62</f>
        <v>352.37</v>
      </c>
      <c r="F119" s="5" t="s">
        <v>10</v>
      </c>
      <c r="G119" s="2" t="s">
        <v>112</v>
      </c>
    </row>
    <row r="120" spans="1:9" x14ac:dyDescent="0.2">
      <c r="A120" s="11">
        <v>101</v>
      </c>
      <c r="B120" s="5" t="s">
        <v>752</v>
      </c>
      <c r="C120" s="12" t="s">
        <v>750</v>
      </c>
      <c r="D120" s="5" t="s">
        <v>751</v>
      </c>
      <c r="E120" s="8">
        <v>45.62</v>
      </c>
      <c r="F120" s="5" t="s">
        <v>10</v>
      </c>
      <c r="G120" s="2" t="s">
        <v>330</v>
      </c>
    </row>
    <row r="121" spans="1:9" x14ac:dyDescent="0.2">
      <c r="A121" s="11">
        <v>102</v>
      </c>
      <c r="B121" s="5" t="s">
        <v>257</v>
      </c>
      <c r="C121" s="11">
        <v>25392808959</v>
      </c>
      <c r="D121" s="5" t="s">
        <v>258</v>
      </c>
      <c r="E121" s="8">
        <v>11341.5</v>
      </c>
      <c r="F121" s="5" t="s">
        <v>10</v>
      </c>
      <c r="G121" s="2" t="s">
        <v>23</v>
      </c>
      <c r="I121" s="13"/>
    </row>
    <row r="122" spans="1:9" x14ac:dyDescent="0.2">
      <c r="A122" s="11">
        <v>103</v>
      </c>
      <c r="B122" s="5" t="s">
        <v>753</v>
      </c>
      <c r="C122" s="11">
        <v>93475459627</v>
      </c>
      <c r="D122" s="5" t="s">
        <v>754</v>
      </c>
      <c r="E122" s="8">
        <v>2151.1999999999998</v>
      </c>
      <c r="F122" s="5" t="s">
        <v>10</v>
      </c>
      <c r="G122" s="2" t="s">
        <v>23</v>
      </c>
    </row>
    <row r="123" spans="1:9" x14ac:dyDescent="0.2">
      <c r="A123" s="11">
        <v>104</v>
      </c>
      <c r="B123" s="5" t="s">
        <v>755</v>
      </c>
      <c r="C123" s="11">
        <v>44270699963</v>
      </c>
      <c r="D123" s="5" t="s">
        <v>756</v>
      </c>
      <c r="E123" s="8">
        <v>29.7</v>
      </c>
      <c r="F123" s="5" t="s">
        <v>10</v>
      </c>
      <c r="G123" s="2" t="s">
        <v>112</v>
      </c>
    </row>
    <row r="124" spans="1:9" x14ac:dyDescent="0.2">
      <c r="A124" s="11">
        <v>105</v>
      </c>
      <c r="B124" s="5" t="s">
        <v>890</v>
      </c>
      <c r="C124" s="12" t="s">
        <v>892</v>
      </c>
      <c r="D124" s="5" t="s">
        <v>891</v>
      </c>
      <c r="E124" s="8">
        <v>225</v>
      </c>
      <c r="F124" s="5" t="s">
        <v>10</v>
      </c>
      <c r="G124" s="2" t="s">
        <v>23</v>
      </c>
    </row>
    <row r="125" spans="1:9" x14ac:dyDescent="0.2">
      <c r="A125" s="11">
        <v>106</v>
      </c>
      <c r="B125" s="5" t="s">
        <v>893</v>
      </c>
      <c r="C125" s="11" t="s">
        <v>894</v>
      </c>
      <c r="D125" s="5" t="s">
        <v>895</v>
      </c>
      <c r="E125" s="8">
        <v>2160</v>
      </c>
      <c r="F125" s="5" t="s">
        <v>10</v>
      </c>
      <c r="G125" s="2" t="s">
        <v>23</v>
      </c>
    </row>
    <row r="126" spans="1:9" x14ac:dyDescent="0.2">
      <c r="A126" s="11">
        <v>107</v>
      </c>
      <c r="B126" s="5" t="s">
        <v>896</v>
      </c>
      <c r="C126" s="11">
        <v>28440665923</v>
      </c>
      <c r="D126" s="5" t="s">
        <v>897</v>
      </c>
      <c r="E126" s="8">
        <v>91.24</v>
      </c>
      <c r="F126" s="5" t="s">
        <v>10</v>
      </c>
      <c r="G126" s="2" t="s">
        <v>330</v>
      </c>
      <c r="H126" s="13"/>
    </row>
    <row r="127" spans="1:9" x14ac:dyDescent="0.2">
      <c r="A127" s="11">
        <v>108</v>
      </c>
      <c r="B127" s="5" t="s">
        <v>486</v>
      </c>
      <c r="C127" s="11" t="s">
        <v>487</v>
      </c>
      <c r="D127" s="5" t="s">
        <v>488</v>
      </c>
      <c r="E127" s="8">
        <v>1535.2</v>
      </c>
      <c r="F127" s="5" t="s">
        <v>10</v>
      </c>
      <c r="G127" s="2" t="s">
        <v>23</v>
      </c>
    </row>
    <row r="128" spans="1:9" x14ac:dyDescent="0.2">
      <c r="A128" s="11">
        <v>109</v>
      </c>
      <c r="B128" s="5" t="s">
        <v>265</v>
      </c>
      <c r="C128" s="11">
        <v>63988426425</v>
      </c>
      <c r="D128" s="5" t="s">
        <v>266</v>
      </c>
      <c r="E128" s="8">
        <v>18570.5</v>
      </c>
      <c r="F128" s="5" t="s">
        <v>10</v>
      </c>
      <c r="G128" s="2" t="s">
        <v>23</v>
      </c>
    </row>
    <row r="129" spans="1:7" x14ac:dyDescent="0.2">
      <c r="A129" s="11">
        <v>110</v>
      </c>
      <c r="B129" s="5" t="s">
        <v>898</v>
      </c>
      <c r="C129" s="12">
        <v>18991729117</v>
      </c>
      <c r="D129" s="5" t="s">
        <v>275</v>
      </c>
      <c r="E129" s="8">
        <v>1500</v>
      </c>
      <c r="F129" s="5" t="s">
        <v>10</v>
      </c>
      <c r="G129" s="2" t="s">
        <v>287</v>
      </c>
    </row>
    <row r="130" spans="1:7" x14ac:dyDescent="0.2">
      <c r="A130" s="11">
        <v>111</v>
      </c>
      <c r="B130" s="5" t="s">
        <v>102</v>
      </c>
      <c r="C130" s="11">
        <v>981494061</v>
      </c>
      <c r="D130" s="5" t="s">
        <v>103</v>
      </c>
      <c r="E130" s="8">
        <v>1672.68</v>
      </c>
      <c r="F130" s="5" t="s">
        <v>10</v>
      </c>
      <c r="G130" s="2" t="s">
        <v>62</v>
      </c>
    </row>
    <row r="131" spans="1:7" x14ac:dyDescent="0.2">
      <c r="A131" s="11">
        <v>112</v>
      </c>
      <c r="B131" s="5" t="s">
        <v>463</v>
      </c>
      <c r="C131" s="11" t="s">
        <v>464</v>
      </c>
      <c r="D131" s="5" t="s">
        <v>876</v>
      </c>
      <c r="E131" s="8">
        <v>294.5</v>
      </c>
      <c r="F131" s="5" t="s">
        <v>10</v>
      </c>
      <c r="G131" s="2" t="s">
        <v>23</v>
      </c>
    </row>
    <row r="132" spans="1:7" x14ac:dyDescent="0.2">
      <c r="A132" s="11">
        <v>113</v>
      </c>
      <c r="B132" s="5" t="s">
        <v>809</v>
      </c>
      <c r="C132" s="11" t="s">
        <v>811</v>
      </c>
      <c r="D132" s="5" t="s">
        <v>810</v>
      </c>
      <c r="E132" s="8">
        <v>4017.47</v>
      </c>
      <c r="F132" s="5" t="s">
        <v>10</v>
      </c>
      <c r="G132" s="2" t="s">
        <v>23</v>
      </c>
    </row>
    <row r="133" spans="1:7" x14ac:dyDescent="0.2">
      <c r="A133" s="11">
        <v>114</v>
      </c>
      <c r="B133" s="5" t="s">
        <v>899</v>
      </c>
      <c r="C133" s="11" t="s">
        <v>901</v>
      </c>
      <c r="D133" s="5" t="s">
        <v>900</v>
      </c>
      <c r="E133" s="8">
        <v>1340.5</v>
      </c>
      <c r="F133" s="5" t="s">
        <v>10</v>
      </c>
      <c r="G133" s="2" t="s">
        <v>23</v>
      </c>
    </row>
    <row r="134" spans="1:7" x14ac:dyDescent="0.2">
      <c r="A134" s="11">
        <v>115</v>
      </c>
      <c r="B134" s="5" t="s">
        <v>184</v>
      </c>
      <c r="C134" s="11">
        <v>80051835685</v>
      </c>
      <c r="D134" s="5" t="s">
        <v>236</v>
      </c>
      <c r="E134" s="8">
        <v>3644.84</v>
      </c>
      <c r="F134" s="5" t="s">
        <v>10</v>
      </c>
      <c r="G134" s="2" t="s">
        <v>23</v>
      </c>
    </row>
    <row r="135" spans="1:7" x14ac:dyDescent="0.2">
      <c r="A135" s="11">
        <v>116</v>
      </c>
      <c r="B135" s="5" t="s">
        <v>902</v>
      </c>
      <c r="C135" s="11" t="s">
        <v>904</v>
      </c>
      <c r="D135" s="5" t="s">
        <v>903</v>
      </c>
      <c r="E135" s="8">
        <v>7401</v>
      </c>
      <c r="F135" s="5" t="s">
        <v>10</v>
      </c>
      <c r="G135" s="2" t="s">
        <v>23</v>
      </c>
    </row>
    <row r="136" spans="1:7" x14ac:dyDescent="0.2">
      <c r="A136" s="11">
        <v>117</v>
      </c>
      <c r="B136" s="5" t="s">
        <v>906</v>
      </c>
      <c r="C136" s="11">
        <v>14273924910</v>
      </c>
      <c r="D136" s="5" t="s">
        <v>228</v>
      </c>
      <c r="E136" s="8">
        <v>1421.25</v>
      </c>
      <c r="F136" s="5" t="s">
        <v>10</v>
      </c>
      <c r="G136" s="2" t="s">
        <v>905</v>
      </c>
    </row>
    <row r="137" spans="1:7" x14ac:dyDescent="0.2">
      <c r="A137" s="11">
        <v>118</v>
      </c>
      <c r="B137" s="5" t="s">
        <v>907</v>
      </c>
      <c r="C137" s="11">
        <v>20537224592</v>
      </c>
      <c r="D137" s="5" t="s">
        <v>908</v>
      </c>
      <c r="E137" s="8">
        <v>3659.5</v>
      </c>
      <c r="F137" s="5" t="s">
        <v>10</v>
      </c>
      <c r="G137" s="2" t="s">
        <v>130</v>
      </c>
    </row>
    <row r="138" spans="1:7" x14ac:dyDescent="0.2">
      <c r="A138" s="11">
        <v>119</v>
      </c>
      <c r="B138" s="5" t="s">
        <v>909</v>
      </c>
      <c r="C138" s="11">
        <v>67003741356</v>
      </c>
      <c r="D138" s="5" t="s">
        <v>510</v>
      </c>
      <c r="E138" s="8">
        <v>19.739999999999998</v>
      </c>
      <c r="F138" s="5" t="s">
        <v>10</v>
      </c>
      <c r="G138" s="2" t="s">
        <v>23</v>
      </c>
    </row>
    <row r="139" spans="1:7" ht="12.75" thickBot="1" x14ac:dyDescent="0.25">
      <c r="A139" s="11">
        <v>120</v>
      </c>
      <c r="B139" s="19" t="s">
        <v>819</v>
      </c>
      <c r="C139" s="36">
        <v>30568370357</v>
      </c>
      <c r="D139" s="19" t="s">
        <v>820</v>
      </c>
      <c r="E139" s="15">
        <v>75</v>
      </c>
      <c r="F139" s="19" t="s">
        <v>10</v>
      </c>
      <c r="G139" s="28" t="s">
        <v>287</v>
      </c>
    </row>
    <row r="140" spans="1:7" x14ac:dyDescent="0.2">
      <c r="A140" s="84">
        <v>121</v>
      </c>
      <c r="B140" s="82" t="s">
        <v>293</v>
      </c>
      <c r="C140" s="84">
        <v>65952859647</v>
      </c>
      <c r="D140" s="82" t="s">
        <v>295</v>
      </c>
      <c r="E140" s="16">
        <v>210</v>
      </c>
      <c r="F140" s="82" t="s">
        <v>10</v>
      </c>
      <c r="G140" s="31" t="s">
        <v>294</v>
      </c>
    </row>
    <row r="141" spans="1:7" ht="12.75" thickBot="1" x14ac:dyDescent="0.25">
      <c r="A141" s="85"/>
      <c r="B141" s="83"/>
      <c r="C141" s="85"/>
      <c r="D141" s="83"/>
      <c r="E141" s="18">
        <v>11605</v>
      </c>
      <c r="F141" s="83"/>
      <c r="G141" s="32" t="s">
        <v>23</v>
      </c>
    </row>
    <row r="142" spans="1:7" x14ac:dyDescent="0.2">
      <c r="A142" s="37">
        <v>122</v>
      </c>
      <c r="B142" s="33" t="s">
        <v>296</v>
      </c>
      <c r="C142" s="37">
        <v>83416546499</v>
      </c>
      <c r="D142" s="33" t="s">
        <v>299</v>
      </c>
      <c r="E142" s="17">
        <v>37.49</v>
      </c>
      <c r="F142" s="33" t="s">
        <v>10</v>
      </c>
      <c r="G142" s="34" t="s">
        <v>64</v>
      </c>
    </row>
    <row r="143" spans="1:7" x14ac:dyDescent="0.2">
      <c r="A143" s="11">
        <v>123</v>
      </c>
      <c r="B143" s="5" t="s">
        <v>910</v>
      </c>
      <c r="C143" s="11">
        <v>10613092990</v>
      </c>
      <c r="D143" s="5" t="s">
        <v>911</v>
      </c>
      <c r="E143" s="8">
        <v>2230.85</v>
      </c>
      <c r="F143" s="5" t="s">
        <v>10</v>
      </c>
      <c r="G143" s="2" t="s">
        <v>23</v>
      </c>
    </row>
    <row r="144" spans="1:7" x14ac:dyDescent="0.2">
      <c r="A144" s="11">
        <v>124</v>
      </c>
      <c r="B144" s="5" t="s">
        <v>17</v>
      </c>
      <c r="C144" s="11" t="s">
        <v>17</v>
      </c>
      <c r="D144" s="5" t="s">
        <v>17</v>
      </c>
      <c r="E144" s="8">
        <v>37489.230000000003</v>
      </c>
      <c r="F144" s="5" t="s">
        <v>10</v>
      </c>
      <c r="G144" s="2" t="s">
        <v>300</v>
      </c>
    </row>
    <row r="145" spans="1:7" x14ac:dyDescent="0.2">
      <c r="A145" s="11">
        <v>125</v>
      </c>
      <c r="B145" s="5" t="s">
        <v>301</v>
      </c>
      <c r="C145" s="11">
        <v>60314119747</v>
      </c>
      <c r="D145" s="5" t="s">
        <v>298</v>
      </c>
      <c r="E145" s="8">
        <v>24461.58</v>
      </c>
      <c r="F145" s="5" t="s">
        <v>10</v>
      </c>
      <c r="G145" s="2" t="s">
        <v>23</v>
      </c>
    </row>
    <row r="146" spans="1:7" x14ac:dyDescent="0.2">
      <c r="A146" s="11">
        <v>126</v>
      </c>
      <c r="B146" s="5" t="s">
        <v>302</v>
      </c>
      <c r="C146" s="11" t="s">
        <v>303</v>
      </c>
      <c r="D146" s="5" t="s">
        <v>304</v>
      </c>
      <c r="E146" s="8">
        <v>423.98</v>
      </c>
      <c r="F146" s="5" t="s">
        <v>10</v>
      </c>
      <c r="G146" s="2" t="s">
        <v>23</v>
      </c>
    </row>
    <row r="147" spans="1:7" x14ac:dyDescent="0.2">
      <c r="A147" s="11">
        <v>127</v>
      </c>
      <c r="B147" s="5" t="s">
        <v>912</v>
      </c>
      <c r="C147" s="11">
        <v>52909770220</v>
      </c>
      <c r="D147" s="5" t="s">
        <v>89</v>
      </c>
      <c r="E147" s="8">
        <v>2026.25</v>
      </c>
      <c r="F147" s="5" t="s">
        <v>10</v>
      </c>
      <c r="G147" s="2" t="s">
        <v>86</v>
      </c>
    </row>
    <row r="148" spans="1:7" x14ac:dyDescent="0.2">
      <c r="A148" s="11">
        <v>128</v>
      </c>
      <c r="B148" s="5" t="s">
        <v>308</v>
      </c>
      <c r="C148" s="12" t="s">
        <v>310</v>
      </c>
      <c r="D148" s="5" t="s">
        <v>309</v>
      </c>
      <c r="E148" s="8">
        <f>2000+2000+4800</f>
        <v>8800</v>
      </c>
      <c r="F148" s="5" t="s">
        <v>10</v>
      </c>
      <c r="G148" s="2" t="s">
        <v>23</v>
      </c>
    </row>
    <row r="149" spans="1:7" x14ac:dyDescent="0.2">
      <c r="A149" s="11">
        <v>129</v>
      </c>
      <c r="B149" s="5" t="s">
        <v>311</v>
      </c>
      <c r="C149" s="11">
        <v>95243482140</v>
      </c>
      <c r="D149" s="5" t="s">
        <v>312</v>
      </c>
      <c r="E149" s="8">
        <f>1685.32+320.22</f>
        <v>2005.54</v>
      </c>
      <c r="F149" s="5" t="s">
        <v>10</v>
      </c>
      <c r="G149" s="2" t="s">
        <v>23</v>
      </c>
    </row>
    <row r="150" spans="1:7" x14ac:dyDescent="0.2">
      <c r="A150" s="11">
        <v>130</v>
      </c>
      <c r="B150" s="5" t="s">
        <v>913</v>
      </c>
      <c r="C150" s="11">
        <v>57560191883</v>
      </c>
      <c r="D150" s="5" t="s">
        <v>914</v>
      </c>
      <c r="E150" s="8">
        <v>72.760000000000005</v>
      </c>
      <c r="F150" s="5" t="s">
        <v>10</v>
      </c>
      <c r="G150" s="2" t="s">
        <v>23</v>
      </c>
    </row>
    <row r="151" spans="1:7" x14ac:dyDescent="0.2">
      <c r="A151" s="11">
        <v>131</v>
      </c>
      <c r="B151" s="5" t="s">
        <v>315</v>
      </c>
      <c r="C151" s="11">
        <v>98656691838</v>
      </c>
      <c r="D151" s="5" t="s">
        <v>316</v>
      </c>
      <c r="E151" s="8">
        <v>2975</v>
      </c>
      <c r="F151" s="5" t="s">
        <v>10</v>
      </c>
      <c r="G151" s="2" t="s">
        <v>23</v>
      </c>
    </row>
    <row r="152" spans="1:7" x14ac:dyDescent="0.2">
      <c r="A152" s="11">
        <v>132</v>
      </c>
      <c r="B152" s="5" t="s">
        <v>915</v>
      </c>
      <c r="C152" s="11">
        <v>51999974804</v>
      </c>
      <c r="D152" s="5" t="s">
        <v>916</v>
      </c>
      <c r="E152" s="8">
        <v>112.39</v>
      </c>
      <c r="F152" s="5" t="s">
        <v>10</v>
      </c>
      <c r="G152" s="2" t="s">
        <v>23</v>
      </c>
    </row>
    <row r="153" spans="1:7" x14ac:dyDescent="0.2">
      <c r="A153" s="11">
        <v>133</v>
      </c>
      <c r="B153" s="5" t="s">
        <v>321</v>
      </c>
      <c r="C153" s="11">
        <v>66346732180</v>
      </c>
      <c r="D153" s="5" t="s">
        <v>322</v>
      </c>
      <c r="E153" s="8">
        <v>462.5</v>
      </c>
      <c r="F153" s="5" t="s">
        <v>10</v>
      </c>
      <c r="G153" s="2" t="s">
        <v>243</v>
      </c>
    </row>
    <row r="154" spans="1:7" x14ac:dyDescent="0.2">
      <c r="A154" s="11">
        <v>134</v>
      </c>
      <c r="B154" s="5" t="s">
        <v>323</v>
      </c>
      <c r="C154" s="11">
        <v>15907062900</v>
      </c>
      <c r="D154" s="5" t="s">
        <v>325</v>
      </c>
      <c r="E154" s="8">
        <v>6692.4</v>
      </c>
      <c r="F154" s="5" t="s">
        <v>10</v>
      </c>
      <c r="G154" s="2" t="s">
        <v>324</v>
      </c>
    </row>
    <row r="155" spans="1:7" x14ac:dyDescent="0.2">
      <c r="A155" s="11">
        <v>135</v>
      </c>
      <c r="B155" s="23" t="s">
        <v>366</v>
      </c>
      <c r="C155" s="24">
        <v>66181750806</v>
      </c>
      <c r="D155" s="23" t="s">
        <v>251</v>
      </c>
      <c r="E155" s="8">
        <v>1486.15</v>
      </c>
      <c r="F155" s="5" t="s">
        <v>10</v>
      </c>
      <c r="G155" s="2" t="s">
        <v>367</v>
      </c>
    </row>
    <row r="156" spans="1:7" x14ac:dyDescent="0.2">
      <c r="A156" s="11">
        <v>136</v>
      </c>
      <c r="B156" s="5" t="s">
        <v>917</v>
      </c>
      <c r="C156" s="11">
        <v>58305409028</v>
      </c>
      <c r="D156" s="5" t="s">
        <v>918</v>
      </c>
      <c r="E156" s="8">
        <v>5850</v>
      </c>
      <c r="F156" s="5" t="s">
        <v>10</v>
      </c>
      <c r="G156" s="2" t="s">
        <v>23</v>
      </c>
    </row>
    <row r="157" spans="1:7" x14ac:dyDescent="0.2">
      <c r="A157" s="11">
        <v>137</v>
      </c>
      <c r="B157" s="5" t="s">
        <v>332</v>
      </c>
      <c r="C157" s="12" t="s">
        <v>334</v>
      </c>
      <c r="D157" s="5" t="s">
        <v>333</v>
      </c>
      <c r="E157" s="8">
        <v>393.6</v>
      </c>
      <c r="F157" s="5" t="s">
        <v>10</v>
      </c>
      <c r="G157" s="2" t="s">
        <v>330</v>
      </c>
    </row>
    <row r="158" spans="1:7" x14ac:dyDescent="0.2">
      <c r="A158" s="11">
        <v>138</v>
      </c>
      <c r="B158" s="5" t="s">
        <v>919</v>
      </c>
      <c r="C158" s="11">
        <v>95562949871</v>
      </c>
      <c r="D158" s="5" t="s">
        <v>921</v>
      </c>
      <c r="E158" s="8">
        <v>136.4</v>
      </c>
      <c r="F158" s="5" t="s">
        <v>10</v>
      </c>
      <c r="G158" s="2" t="s">
        <v>920</v>
      </c>
    </row>
    <row r="159" spans="1:7" x14ac:dyDescent="0.2">
      <c r="A159" s="11">
        <v>139</v>
      </c>
      <c r="B159" s="5" t="s">
        <v>337</v>
      </c>
      <c r="C159" s="11">
        <v>97994010225</v>
      </c>
      <c r="D159" s="5" t="s">
        <v>338</v>
      </c>
      <c r="E159" s="8">
        <v>186.94</v>
      </c>
      <c r="F159" s="5" t="s">
        <v>10</v>
      </c>
      <c r="G159" s="2" t="s">
        <v>23</v>
      </c>
    </row>
    <row r="160" spans="1:7" x14ac:dyDescent="0.2">
      <c r="A160" s="11">
        <v>140</v>
      </c>
      <c r="B160" s="5" t="s">
        <v>922</v>
      </c>
      <c r="C160" s="11">
        <v>75332433655</v>
      </c>
      <c r="D160" s="5" t="s">
        <v>604</v>
      </c>
      <c r="E160" s="8">
        <v>106.25</v>
      </c>
      <c r="F160" s="5" t="s">
        <v>10</v>
      </c>
      <c r="G160" s="2" t="s">
        <v>23</v>
      </c>
    </row>
    <row r="161" spans="1:12" x14ac:dyDescent="0.2">
      <c r="A161" s="11">
        <v>141</v>
      </c>
      <c r="B161" s="5" t="s">
        <v>341</v>
      </c>
      <c r="C161" s="11">
        <v>78969071801</v>
      </c>
      <c r="D161" s="5" t="s">
        <v>342</v>
      </c>
      <c r="E161" s="8">
        <v>1378.95</v>
      </c>
      <c r="F161" s="5" t="s">
        <v>10</v>
      </c>
      <c r="G161" s="2" t="s">
        <v>23</v>
      </c>
      <c r="J161" s="13"/>
    </row>
    <row r="162" spans="1:12" x14ac:dyDescent="0.2">
      <c r="A162" s="11">
        <v>142</v>
      </c>
      <c r="B162" s="5" t="s">
        <v>369</v>
      </c>
      <c r="C162" s="11" t="s">
        <v>371</v>
      </c>
      <c r="D162" s="5" t="s">
        <v>370</v>
      </c>
      <c r="E162" s="8">
        <f>387.32+2039.7</f>
        <v>2427.02</v>
      </c>
      <c r="F162" s="5" t="s">
        <v>10</v>
      </c>
      <c r="G162" s="2" t="s">
        <v>23</v>
      </c>
    </row>
    <row r="163" spans="1:12" x14ac:dyDescent="0.2">
      <c r="A163" s="11">
        <v>143</v>
      </c>
      <c r="B163" s="5" t="s">
        <v>347</v>
      </c>
      <c r="C163" s="11">
        <v>51892779522</v>
      </c>
      <c r="D163" s="5" t="s">
        <v>348</v>
      </c>
      <c r="E163" s="8">
        <v>1562.5</v>
      </c>
      <c r="F163" s="5" t="s">
        <v>10</v>
      </c>
      <c r="G163" s="2" t="s">
        <v>23</v>
      </c>
      <c r="L163" s="21"/>
    </row>
    <row r="164" spans="1:12" x14ac:dyDescent="0.2">
      <c r="A164" s="11">
        <v>144</v>
      </c>
      <c r="B164" s="5" t="s">
        <v>364</v>
      </c>
      <c r="C164" s="11">
        <v>42769559951</v>
      </c>
      <c r="D164" s="5" t="s">
        <v>365</v>
      </c>
      <c r="E164" s="8">
        <v>855.75</v>
      </c>
      <c r="F164" s="5" t="s">
        <v>10</v>
      </c>
      <c r="G164" s="2" t="s">
        <v>23</v>
      </c>
    </row>
    <row r="165" spans="1:12" x14ac:dyDescent="0.2">
      <c r="A165" s="11">
        <v>145</v>
      </c>
      <c r="B165" s="5" t="s">
        <v>372</v>
      </c>
      <c r="C165" s="11">
        <v>64021574271</v>
      </c>
      <c r="D165" s="5" t="s">
        <v>373</v>
      </c>
      <c r="E165" s="8">
        <v>126.88</v>
      </c>
      <c r="F165" s="5" t="s">
        <v>10</v>
      </c>
      <c r="G165" s="2" t="s">
        <v>23</v>
      </c>
    </row>
    <row r="166" spans="1:12" x14ac:dyDescent="0.2">
      <c r="A166" s="11">
        <v>146</v>
      </c>
      <c r="B166" s="5" t="s">
        <v>374</v>
      </c>
      <c r="C166" s="11">
        <v>48249084626</v>
      </c>
      <c r="D166" s="5" t="s">
        <v>375</v>
      </c>
      <c r="E166" s="8">
        <f>517.69+499.88</f>
        <v>1017.57</v>
      </c>
      <c r="F166" s="5" t="s">
        <v>10</v>
      </c>
      <c r="G166" s="2" t="s">
        <v>23</v>
      </c>
    </row>
    <row r="167" spans="1:12" x14ac:dyDescent="0.2">
      <c r="A167" s="11">
        <v>147</v>
      </c>
      <c r="B167" s="5" t="s">
        <v>376</v>
      </c>
      <c r="C167" s="11">
        <v>26901839603</v>
      </c>
      <c r="D167" s="5" t="s">
        <v>377</v>
      </c>
      <c r="E167" s="8">
        <v>2040.23</v>
      </c>
      <c r="F167" s="5" t="s">
        <v>10</v>
      </c>
      <c r="G167" s="2" t="s">
        <v>23</v>
      </c>
    </row>
    <row r="168" spans="1:12" x14ac:dyDescent="0.2">
      <c r="A168" s="11">
        <v>148</v>
      </c>
      <c r="B168" s="5" t="s">
        <v>923</v>
      </c>
      <c r="C168" s="12" t="s">
        <v>925</v>
      </c>
      <c r="D168" s="5" t="s">
        <v>924</v>
      </c>
      <c r="E168" s="8">
        <v>713.8</v>
      </c>
      <c r="F168" s="5" t="s">
        <v>10</v>
      </c>
      <c r="G168" s="2" t="s">
        <v>23</v>
      </c>
    </row>
    <row r="169" spans="1:12" x14ac:dyDescent="0.2">
      <c r="A169" s="11">
        <v>149</v>
      </c>
      <c r="B169" s="5" t="s">
        <v>511</v>
      </c>
      <c r="C169" s="12">
        <v>10765766984</v>
      </c>
      <c r="D169" s="5" t="s">
        <v>926</v>
      </c>
      <c r="E169" s="8">
        <v>1188</v>
      </c>
      <c r="F169" s="5" t="s">
        <v>10</v>
      </c>
      <c r="G169" s="2" t="s">
        <v>23</v>
      </c>
    </row>
    <row r="170" spans="1:12" x14ac:dyDescent="0.2">
      <c r="A170" s="11">
        <v>150</v>
      </c>
      <c r="B170" s="5" t="s">
        <v>382</v>
      </c>
      <c r="C170" s="11">
        <v>76080865307</v>
      </c>
      <c r="D170" s="5" t="s">
        <v>383</v>
      </c>
      <c r="E170" s="8">
        <v>38.159999999999997</v>
      </c>
      <c r="F170" s="5" t="s">
        <v>10</v>
      </c>
      <c r="G170" s="2" t="s">
        <v>287</v>
      </c>
    </row>
    <row r="171" spans="1:12" x14ac:dyDescent="0.2">
      <c r="A171" s="11">
        <v>151</v>
      </c>
      <c r="B171" s="5" t="s">
        <v>386</v>
      </c>
      <c r="C171" s="11">
        <v>60365429880</v>
      </c>
      <c r="D171" s="5" t="s">
        <v>387</v>
      </c>
      <c r="E171" s="8">
        <v>1399.64</v>
      </c>
      <c r="F171" s="5" t="s">
        <v>10</v>
      </c>
      <c r="G171" s="2" t="s">
        <v>23</v>
      </c>
    </row>
    <row r="172" spans="1:12" x14ac:dyDescent="0.2">
      <c r="A172" s="11">
        <v>152</v>
      </c>
      <c r="B172" s="5" t="s">
        <v>391</v>
      </c>
      <c r="C172" s="11">
        <v>37879152548</v>
      </c>
      <c r="D172" s="5" t="s">
        <v>392</v>
      </c>
      <c r="E172" s="8">
        <v>2397.6</v>
      </c>
      <c r="F172" s="5" t="s">
        <v>10</v>
      </c>
      <c r="G172" s="2" t="s">
        <v>23</v>
      </c>
    </row>
    <row r="173" spans="1:12" x14ac:dyDescent="0.2">
      <c r="A173" s="11">
        <v>153</v>
      </c>
      <c r="B173" s="5" t="s">
        <v>927</v>
      </c>
      <c r="C173" s="11">
        <v>90591998649</v>
      </c>
      <c r="D173" s="5" t="s">
        <v>928</v>
      </c>
      <c r="E173" s="8">
        <f>151.94+15.75</f>
        <v>167.69</v>
      </c>
      <c r="F173" s="5" t="s">
        <v>10</v>
      </c>
      <c r="G173" s="2" t="s">
        <v>23</v>
      </c>
    </row>
    <row r="174" spans="1:12" x14ac:dyDescent="0.2">
      <c r="A174" s="11">
        <v>154</v>
      </c>
      <c r="B174" s="5" t="s">
        <v>395</v>
      </c>
      <c r="C174" s="11">
        <v>39048902955</v>
      </c>
      <c r="D174" s="5" t="s">
        <v>396</v>
      </c>
      <c r="E174" s="8">
        <v>530.97</v>
      </c>
      <c r="F174" s="5" t="s">
        <v>10</v>
      </c>
      <c r="G174" s="2" t="s">
        <v>64</v>
      </c>
    </row>
    <row r="175" spans="1:12" x14ac:dyDescent="0.2">
      <c r="A175" s="11">
        <v>155</v>
      </c>
      <c r="B175" s="5" t="s">
        <v>397</v>
      </c>
      <c r="C175" s="11">
        <v>85375838060</v>
      </c>
      <c r="D175" s="5" t="s">
        <v>398</v>
      </c>
      <c r="E175" s="8">
        <f>285.5+28.55</f>
        <v>314.05</v>
      </c>
      <c r="F175" s="5" t="s">
        <v>10</v>
      </c>
      <c r="G175" s="2" t="s">
        <v>64</v>
      </c>
    </row>
    <row r="176" spans="1:12" x14ac:dyDescent="0.2">
      <c r="A176" s="11">
        <v>156</v>
      </c>
      <c r="B176" s="5" t="s">
        <v>932</v>
      </c>
      <c r="C176" s="11">
        <v>66865844122</v>
      </c>
      <c r="D176" s="5" t="s">
        <v>933</v>
      </c>
      <c r="E176" s="8">
        <v>521.51</v>
      </c>
      <c r="F176" s="5" t="s">
        <v>10</v>
      </c>
      <c r="G176" s="2" t="s">
        <v>23</v>
      </c>
    </row>
    <row r="177" spans="1:7" x14ac:dyDescent="0.2">
      <c r="A177" s="11">
        <v>157</v>
      </c>
      <c r="B177" s="5" t="s">
        <v>401</v>
      </c>
      <c r="C177" s="11">
        <v>55614719992</v>
      </c>
      <c r="D177" s="5" t="s">
        <v>402</v>
      </c>
      <c r="E177" s="8">
        <v>1022.78</v>
      </c>
      <c r="F177" s="5" t="s">
        <v>10</v>
      </c>
      <c r="G177" s="2" t="s">
        <v>23</v>
      </c>
    </row>
    <row r="178" spans="1:7" x14ac:dyDescent="0.2">
      <c r="A178" s="11">
        <v>158</v>
      </c>
      <c r="B178" s="5" t="s">
        <v>403</v>
      </c>
      <c r="C178" s="11">
        <v>95325472047</v>
      </c>
      <c r="D178" s="5" t="s">
        <v>404</v>
      </c>
      <c r="E178" s="8">
        <v>42.16</v>
      </c>
      <c r="F178" s="5" t="s">
        <v>10</v>
      </c>
      <c r="G178" s="2" t="s">
        <v>23</v>
      </c>
    </row>
    <row r="179" spans="1:7" x14ac:dyDescent="0.2">
      <c r="A179" s="11">
        <v>159</v>
      </c>
      <c r="B179" s="5" t="s">
        <v>929</v>
      </c>
      <c r="C179" s="11" t="s">
        <v>930</v>
      </c>
      <c r="D179" s="5" t="s">
        <v>931</v>
      </c>
      <c r="E179" s="8">
        <v>367.65</v>
      </c>
      <c r="F179" s="5" t="s">
        <v>10</v>
      </c>
      <c r="G179" s="2" t="s">
        <v>23</v>
      </c>
    </row>
    <row r="180" spans="1:7" x14ac:dyDescent="0.2">
      <c r="A180" s="11">
        <v>160</v>
      </c>
      <c r="B180" s="5" t="s">
        <v>934</v>
      </c>
      <c r="C180" s="11" t="s">
        <v>935</v>
      </c>
      <c r="D180" s="5" t="s">
        <v>936</v>
      </c>
      <c r="E180" s="8">
        <v>548.79999999999995</v>
      </c>
      <c r="F180" s="5" t="s">
        <v>10</v>
      </c>
      <c r="G180" s="2" t="s">
        <v>23</v>
      </c>
    </row>
    <row r="181" spans="1:7" x14ac:dyDescent="0.2">
      <c r="A181" s="11">
        <v>161</v>
      </c>
      <c r="B181" s="5" t="s">
        <v>411</v>
      </c>
      <c r="C181" s="11">
        <v>110752628</v>
      </c>
      <c r="D181" s="5" t="s">
        <v>414</v>
      </c>
      <c r="E181" s="8">
        <v>593.85</v>
      </c>
      <c r="F181" s="5" t="s">
        <v>10</v>
      </c>
      <c r="G181" s="2" t="s">
        <v>23</v>
      </c>
    </row>
    <row r="182" spans="1:7" x14ac:dyDescent="0.2">
      <c r="A182" s="11">
        <v>162</v>
      </c>
      <c r="B182" s="5" t="s">
        <v>412</v>
      </c>
      <c r="C182" s="11">
        <v>85611744662</v>
      </c>
      <c r="D182" s="5" t="s">
        <v>413</v>
      </c>
      <c r="E182" s="8">
        <f>1012.48+398.5</f>
        <v>1410.98</v>
      </c>
      <c r="F182" s="5" t="s">
        <v>10</v>
      </c>
      <c r="G182" s="2" t="s">
        <v>23</v>
      </c>
    </row>
    <row r="183" spans="1:7" x14ac:dyDescent="0.2">
      <c r="A183" s="11">
        <v>163</v>
      </c>
      <c r="B183" s="5" t="s">
        <v>937</v>
      </c>
      <c r="C183" s="11">
        <v>95460557222</v>
      </c>
      <c r="D183" s="5" t="s">
        <v>938</v>
      </c>
      <c r="E183" s="8">
        <v>736.09</v>
      </c>
      <c r="F183" s="5" t="s">
        <v>10</v>
      </c>
      <c r="G183" s="2" t="s">
        <v>23</v>
      </c>
    </row>
    <row r="184" spans="1:7" x14ac:dyDescent="0.2">
      <c r="A184" s="11">
        <v>164</v>
      </c>
      <c r="B184" s="5" t="s">
        <v>939</v>
      </c>
      <c r="C184" s="11">
        <v>42821181683</v>
      </c>
      <c r="D184" s="5" t="s">
        <v>940</v>
      </c>
      <c r="E184" s="8">
        <v>126.86</v>
      </c>
      <c r="F184" s="5" t="s">
        <v>10</v>
      </c>
      <c r="G184" s="2" t="s">
        <v>23</v>
      </c>
    </row>
    <row r="185" spans="1:7" x14ac:dyDescent="0.2">
      <c r="A185" s="11">
        <v>165</v>
      </c>
      <c r="B185" s="5" t="s">
        <v>428</v>
      </c>
      <c r="C185" s="11">
        <v>53785632625</v>
      </c>
      <c r="D185" s="5" t="s">
        <v>429</v>
      </c>
      <c r="E185" s="8">
        <v>99.85</v>
      </c>
      <c r="F185" s="5" t="s">
        <v>10</v>
      </c>
      <c r="G185" s="2" t="s">
        <v>23</v>
      </c>
    </row>
    <row r="186" spans="1:7" x14ac:dyDescent="0.2">
      <c r="A186" s="11">
        <v>166</v>
      </c>
      <c r="B186" s="5" t="s">
        <v>941</v>
      </c>
      <c r="C186" s="11">
        <v>83052447181</v>
      </c>
      <c r="D186" s="5" t="s">
        <v>942</v>
      </c>
      <c r="E186" s="8">
        <v>1563.95</v>
      </c>
      <c r="F186" s="5" t="s">
        <v>10</v>
      </c>
      <c r="G186" s="2" t="s">
        <v>23</v>
      </c>
    </row>
    <row r="187" spans="1:7" x14ac:dyDescent="0.2">
      <c r="A187" s="11">
        <v>167</v>
      </c>
      <c r="B187" s="5" t="s">
        <v>943</v>
      </c>
      <c r="C187" s="11">
        <v>68381265730</v>
      </c>
      <c r="D187" s="5" t="s">
        <v>944</v>
      </c>
      <c r="E187" s="8">
        <v>468.75</v>
      </c>
      <c r="F187" s="5" t="s">
        <v>10</v>
      </c>
      <c r="G187" s="2" t="s">
        <v>23</v>
      </c>
    </row>
    <row r="188" spans="1:7" x14ac:dyDescent="0.2">
      <c r="A188" s="11">
        <v>168</v>
      </c>
      <c r="B188" s="5" t="s">
        <v>945</v>
      </c>
      <c r="C188" s="11">
        <v>88784334797</v>
      </c>
      <c r="D188" s="5" t="s">
        <v>946</v>
      </c>
      <c r="E188" s="8">
        <v>14.55</v>
      </c>
      <c r="F188" s="5" t="s">
        <v>10</v>
      </c>
      <c r="G188" s="2" t="s">
        <v>23</v>
      </c>
    </row>
    <row r="189" spans="1:7" x14ac:dyDescent="0.2">
      <c r="A189" s="11">
        <v>169</v>
      </c>
      <c r="B189" s="5" t="s">
        <v>437</v>
      </c>
      <c r="C189" s="11">
        <v>76147579166</v>
      </c>
      <c r="D189" s="5" t="s">
        <v>438</v>
      </c>
      <c r="E189" s="8">
        <f>631.64+9.75</f>
        <v>641.39</v>
      </c>
      <c r="F189" s="5" t="s">
        <v>10</v>
      </c>
      <c r="G189" s="2" t="s">
        <v>23</v>
      </c>
    </row>
    <row r="190" spans="1:7" x14ac:dyDescent="0.2">
      <c r="A190" s="11">
        <v>170</v>
      </c>
      <c r="B190" s="5" t="s">
        <v>439</v>
      </c>
      <c r="C190" s="11">
        <v>48841983787</v>
      </c>
      <c r="D190" s="5" t="s">
        <v>440</v>
      </c>
      <c r="E190" s="8">
        <v>2507.81</v>
      </c>
      <c r="F190" s="5" t="s">
        <v>10</v>
      </c>
      <c r="G190" s="2" t="s">
        <v>23</v>
      </c>
    </row>
    <row r="191" spans="1:7" x14ac:dyDescent="0.2">
      <c r="A191" s="11">
        <v>171</v>
      </c>
      <c r="B191" s="5" t="s">
        <v>441</v>
      </c>
      <c r="C191" s="11">
        <v>12443607100</v>
      </c>
      <c r="D191" s="5" t="s">
        <v>442</v>
      </c>
      <c r="E191" s="8">
        <v>2815.5</v>
      </c>
      <c r="F191" s="5" t="s">
        <v>10</v>
      </c>
      <c r="G191" s="2" t="s">
        <v>23</v>
      </c>
    </row>
    <row r="192" spans="1:7" x14ac:dyDescent="0.2">
      <c r="A192" s="11">
        <v>172</v>
      </c>
      <c r="B192" s="5" t="s">
        <v>947</v>
      </c>
      <c r="C192" s="11">
        <v>18499608152</v>
      </c>
      <c r="D192" s="5" t="s">
        <v>948</v>
      </c>
      <c r="E192" s="8">
        <v>2</v>
      </c>
      <c r="F192" s="5" t="s">
        <v>10</v>
      </c>
      <c r="G192" s="2" t="s">
        <v>23</v>
      </c>
    </row>
    <row r="193" spans="1:7" x14ac:dyDescent="0.2">
      <c r="A193" s="11">
        <v>173</v>
      </c>
      <c r="B193" s="5" t="s">
        <v>156</v>
      </c>
      <c r="C193" s="11">
        <v>51645411160</v>
      </c>
      <c r="D193" s="5" t="s">
        <v>215</v>
      </c>
      <c r="E193" s="8">
        <v>4.6500000000000004</v>
      </c>
      <c r="F193" s="5" t="s">
        <v>10</v>
      </c>
      <c r="G193" s="2" t="s">
        <v>23</v>
      </c>
    </row>
    <row r="194" spans="1:7" x14ac:dyDescent="0.2">
      <c r="A194" s="11">
        <v>174</v>
      </c>
      <c r="B194" s="5" t="s">
        <v>771</v>
      </c>
      <c r="C194" s="11">
        <v>92378435625</v>
      </c>
      <c r="D194" s="5" t="s">
        <v>772</v>
      </c>
      <c r="E194" s="8">
        <v>65</v>
      </c>
      <c r="F194" s="5" t="s">
        <v>10</v>
      </c>
      <c r="G194" s="2" t="s">
        <v>118</v>
      </c>
    </row>
    <row r="195" spans="1:7" x14ac:dyDescent="0.2">
      <c r="A195" s="11">
        <v>175</v>
      </c>
      <c r="B195" s="5" t="s">
        <v>949</v>
      </c>
      <c r="C195" s="12" t="s">
        <v>951</v>
      </c>
      <c r="D195" s="5" t="s">
        <v>950</v>
      </c>
      <c r="E195" s="8">
        <v>606.38</v>
      </c>
      <c r="F195" s="5" t="s">
        <v>10</v>
      </c>
      <c r="G195" s="2" t="s">
        <v>952</v>
      </c>
    </row>
    <row r="196" spans="1:7" x14ac:dyDescent="0.2">
      <c r="A196" s="11">
        <v>176</v>
      </c>
      <c r="B196" s="5" t="s">
        <v>451</v>
      </c>
      <c r="C196" s="11" t="s">
        <v>452</v>
      </c>
      <c r="D196" s="5" t="s">
        <v>453</v>
      </c>
      <c r="E196" s="8">
        <f>959.5</f>
        <v>959.5</v>
      </c>
      <c r="F196" s="5" t="s">
        <v>10</v>
      </c>
      <c r="G196" s="2" t="s">
        <v>23</v>
      </c>
    </row>
    <row r="197" spans="1:7" x14ac:dyDescent="0.2">
      <c r="A197" s="11">
        <v>177</v>
      </c>
      <c r="B197" s="5" t="s">
        <v>953</v>
      </c>
      <c r="C197" s="12" t="s">
        <v>954</v>
      </c>
      <c r="D197" s="5" t="s">
        <v>955</v>
      </c>
      <c r="E197" s="8">
        <v>1465.5</v>
      </c>
      <c r="F197" s="5" t="s">
        <v>10</v>
      </c>
      <c r="G197" s="2" t="s">
        <v>505</v>
      </c>
    </row>
    <row r="198" spans="1:7" x14ac:dyDescent="0.2">
      <c r="A198" s="11">
        <v>178</v>
      </c>
      <c r="B198" s="5" t="s">
        <v>561</v>
      </c>
      <c r="C198" s="11">
        <v>69638067216</v>
      </c>
      <c r="D198" s="5" t="s">
        <v>562</v>
      </c>
      <c r="E198" s="8">
        <v>256</v>
      </c>
      <c r="F198" s="5" t="s">
        <v>10</v>
      </c>
      <c r="G198" s="2" t="s">
        <v>23</v>
      </c>
    </row>
    <row r="199" spans="1:7" x14ac:dyDescent="0.2">
      <c r="A199" s="11">
        <v>179</v>
      </c>
      <c r="B199" s="5" t="s">
        <v>956</v>
      </c>
      <c r="C199" s="12" t="s">
        <v>957</v>
      </c>
      <c r="D199" s="5" t="s">
        <v>958</v>
      </c>
      <c r="E199" s="8">
        <v>117.5</v>
      </c>
      <c r="F199" s="5" t="s">
        <v>10</v>
      </c>
      <c r="G199" s="2" t="s">
        <v>23</v>
      </c>
    </row>
    <row r="200" spans="1:7" x14ac:dyDescent="0.2">
      <c r="A200" s="11">
        <v>180</v>
      </c>
      <c r="B200" s="5" t="s">
        <v>959</v>
      </c>
      <c r="C200" s="11">
        <v>18545665005</v>
      </c>
      <c r="D200" s="5" t="s">
        <v>509</v>
      </c>
      <c r="E200" s="8">
        <v>600</v>
      </c>
      <c r="F200" s="5" t="s">
        <v>10</v>
      </c>
      <c r="G200" s="2" t="s">
        <v>23</v>
      </c>
    </row>
    <row r="201" spans="1:7" x14ac:dyDescent="0.2">
      <c r="A201" s="11">
        <v>181</v>
      </c>
      <c r="B201" s="5" t="s">
        <v>960</v>
      </c>
      <c r="C201" s="11">
        <v>86648038250</v>
      </c>
      <c r="D201" s="5" t="s">
        <v>961</v>
      </c>
      <c r="E201" s="8">
        <v>81.25</v>
      </c>
      <c r="F201" s="5" t="s">
        <v>10</v>
      </c>
      <c r="G201" s="2" t="s">
        <v>176</v>
      </c>
    </row>
    <row r="202" spans="1:7" x14ac:dyDescent="0.2">
      <c r="A202" s="11">
        <v>182</v>
      </c>
      <c r="B202" s="5" t="s">
        <v>962</v>
      </c>
      <c r="C202" s="12">
        <v>39654056116</v>
      </c>
      <c r="D202" s="5" t="s">
        <v>963</v>
      </c>
      <c r="E202" s="8">
        <v>140</v>
      </c>
      <c r="F202" s="5" t="s">
        <v>10</v>
      </c>
      <c r="G202" s="2" t="s">
        <v>287</v>
      </c>
    </row>
    <row r="203" spans="1:7" x14ac:dyDescent="0.2">
      <c r="A203" s="11">
        <v>183</v>
      </c>
      <c r="B203" s="5" t="s">
        <v>135</v>
      </c>
      <c r="C203" s="11">
        <v>38812451417</v>
      </c>
      <c r="D203" s="5" t="s">
        <v>198</v>
      </c>
      <c r="E203" s="8">
        <v>95.79</v>
      </c>
      <c r="F203" s="5" t="s">
        <v>10</v>
      </c>
      <c r="G203" s="2" t="s">
        <v>112</v>
      </c>
    </row>
    <row r="204" spans="1:7" x14ac:dyDescent="0.2">
      <c r="A204" s="11">
        <v>184</v>
      </c>
      <c r="B204" s="5" t="s">
        <v>471</v>
      </c>
      <c r="C204" s="11">
        <v>54661026138</v>
      </c>
      <c r="D204" s="5" t="s">
        <v>472</v>
      </c>
      <c r="E204" s="8">
        <v>524.23</v>
      </c>
      <c r="F204" s="5" t="s">
        <v>10</v>
      </c>
      <c r="G204" s="2" t="s">
        <v>23</v>
      </c>
    </row>
    <row r="205" spans="1:7" x14ac:dyDescent="0.2">
      <c r="A205" s="11">
        <v>185</v>
      </c>
      <c r="B205" s="5" t="s">
        <v>964</v>
      </c>
      <c r="C205" s="11">
        <v>31647783892</v>
      </c>
      <c r="D205" s="5" t="s">
        <v>965</v>
      </c>
      <c r="E205" s="8">
        <v>20.399999999999999</v>
      </c>
      <c r="F205" s="5" t="s">
        <v>10</v>
      </c>
      <c r="G205" s="2" t="s">
        <v>23</v>
      </c>
    </row>
    <row r="206" spans="1:7" x14ac:dyDescent="0.2">
      <c r="A206" s="11">
        <v>186</v>
      </c>
      <c r="B206" s="5" t="s">
        <v>966</v>
      </c>
      <c r="C206" s="12">
        <v>72662515745</v>
      </c>
      <c r="D206" s="5" t="s">
        <v>967</v>
      </c>
      <c r="E206" s="8">
        <v>260</v>
      </c>
      <c r="F206" s="5" t="s">
        <v>10</v>
      </c>
      <c r="G206" s="2" t="s">
        <v>23</v>
      </c>
    </row>
    <row r="207" spans="1:7" x14ac:dyDescent="0.2">
      <c r="A207" s="11">
        <v>187</v>
      </c>
      <c r="B207" s="5" t="s">
        <v>968</v>
      </c>
      <c r="C207" s="11">
        <v>55622004611</v>
      </c>
      <c r="D207" s="5" t="s">
        <v>32</v>
      </c>
      <c r="E207" s="8">
        <v>178.75</v>
      </c>
      <c r="F207" s="5" t="s">
        <v>10</v>
      </c>
      <c r="G207" s="2" t="s">
        <v>23</v>
      </c>
    </row>
    <row r="208" spans="1:7" x14ac:dyDescent="0.2">
      <c r="A208" s="11">
        <v>188</v>
      </c>
      <c r="B208" s="5" t="s">
        <v>969</v>
      </c>
      <c r="C208" s="11">
        <v>95449332614</v>
      </c>
      <c r="D208" s="5" t="s">
        <v>235</v>
      </c>
      <c r="E208" s="8">
        <v>195</v>
      </c>
      <c r="F208" s="5" t="s">
        <v>10</v>
      </c>
      <c r="G208" s="2" t="s">
        <v>23</v>
      </c>
    </row>
    <row r="209" spans="1:7" x14ac:dyDescent="0.2">
      <c r="A209" s="11">
        <v>189</v>
      </c>
      <c r="B209" s="5" t="s">
        <v>970</v>
      </c>
      <c r="C209" s="12">
        <v>54655542852</v>
      </c>
      <c r="D209" s="5" t="s">
        <v>971</v>
      </c>
      <c r="E209" s="8">
        <v>75</v>
      </c>
      <c r="F209" s="5" t="s">
        <v>10</v>
      </c>
      <c r="G209" s="2" t="s">
        <v>243</v>
      </c>
    </row>
    <row r="210" spans="1:7" x14ac:dyDescent="0.2">
      <c r="A210" s="11">
        <v>190</v>
      </c>
      <c r="B210" s="5" t="s">
        <v>832</v>
      </c>
      <c r="C210" s="11">
        <v>21680443525</v>
      </c>
      <c r="D210" s="5" t="s">
        <v>833</v>
      </c>
      <c r="E210" s="8">
        <v>455.69</v>
      </c>
      <c r="F210" s="5" t="s">
        <v>10</v>
      </c>
      <c r="G210" s="2" t="s">
        <v>23</v>
      </c>
    </row>
    <row r="211" spans="1:7" x14ac:dyDescent="0.2">
      <c r="A211" s="11">
        <v>191</v>
      </c>
      <c r="B211" s="5" t="s">
        <v>976</v>
      </c>
      <c r="C211" s="11">
        <v>26211106548</v>
      </c>
      <c r="D211" s="5" t="s">
        <v>141</v>
      </c>
      <c r="E211" s="8">
        <v>131.77000000000001</v>
      </c>
      <c r="F211" s="5" t="s">
        <v>10</v>
      </c>
      <c r="G211" s="2" t="s">
        <v>112</v>
      </c>
    </row>
    <row r="212" spans="1:7" x14ac:dyDescent="0.2">
      <c r="A212" s="11">
        <v>192</v>
      </c>
      <c r="B212" s="5" t="s">
        <v>494</v>
      </c>
      <c r="C212" s="11">
        <v>54482179263</v>
      </c>
      <c r="D212" s="5" t="s">
        <v>495</v>
      </c>
      <c r="E212" s="8">
        <v>106.13</v>
      </c>
      <c r="F212" s="5" t="s">
        <v>10</v>
      </c>
      <c r="G212" s="2" t="s">
        <v>23</v>
      </c>
    </row>
    <row r="213" spans="1:7" x14ac:dyDescent="0.2">
      <c r="A213" s="11">
        <v>193</v>
      </c>
      <c r="B213" s="5" t="s">
        <v>499</v>
      </c>
      <c r="C213" s="11">
        <v>50467974870</v>
      </c>
      <c r="D213" s="5" t="s">
        <v>500</v>
      </c>
      <c r="E213" s="8">
        <v>193.38</v>
      </c>
      <c r="F213" s="5" t="s">
        <v>10</v>
      </c>
      <c r="G213" s="2" t="s">
        <v>23</v>
      </c>
    </row>
    <row r="214" spans="1:7" x14ac:dyDescent="0.2">
      <c r="A214" s="11">
        <v>194</v>
      </c>
      <c r="B214" s="5" t="s">
        <v>501</v>
      </c>
      <c r="C214" s="11">
        <v>79506290597</v>
      </c>
      <c r="D214" s="5" t="s">
        <v>503</v>
      </c>
      <c r="E214" s="8">
        <v>80.14</v>
      </c>
      <c r="F214" s="5" t="s">
        <v>10</v>
      </c>
      <c r="G214" s="2" t="s">
        <v>502</v>
      </c>
    </row>
    <row r="215" spans="1:7" x14ac:dyDescent="0.2">
      <c r="A215" s="11">
        <v>195</v>
      </c>
      <c r="B215" s="5" t="s">
        <v>973</v>
      </c>
      <c r="C215" s="11">
        <v>79777981902</v>
      </c>
      <c r="D215" s="5" t="s">
        <v>972</v>
      </c>
      <c r="E215" s="8">
        <v>2.2200000000000002</v>
      </c>
      <c r="F215" s="5" t="s">
        <v>10</v>
      </c>
      <c r="G215" s="2" t="s">
        <v>23</v>
      </c>
    </row>
    <row r="216" spans="1:7" x14ac:dyDescent="0.2">
      <c r="A216" s="11">
        <v>196</v>
      </c>
      <c r="B216" s="5" t="s">
        <v>507</v>
      </c>
      <c r="C216" s="11">
        <v>94505281348</v>
      </c>
      <c r="D216" s="5" t="s">
        <v>509</v>
      </c>
      <c r="E216" s="8">
        <v>157.5</v>
      </c>
      <c r="F216" s="5" t="s">
        <v>10</v>
      </c>
      <c r="G216" s="2" t="s">
        <v>287</v>
      </c>
    </row>
    <row r="217" spans="1:7" x14ac:dyDescent="0.2">
      <c r="A217" s="11">
        <v>197</v>
      </c>
      <c r="B217" s="5" t="s">
        <v>974</v>
      </c>
      <c r="C217" s="11">
        <v>89984971143</v>
      </c>
      <c r="D217" s="5" t="s">
        <v>975</v>
      </c>
      <c r="E217" s="8">
        <v>282.5</v>
      </c>
      <c r="F217" s="5" t="s">
        <v>10</v>
      </c>
      <c r="G217" s="2" t="s">
        <v>23</v>
      </c>
    </row>
    <row r="218" spans="1:7" x14ac:dyDescent="0.2">
      <c r="A218" s="11">
        <v>198</v>
      </c>
      <c r="B218" s="5" t="s">
        <v>355</v>
      </c>
      <c r="C218" s="11">
        <v>25577810707</v>
      </c>
      <c r="D218" s="5" t="s">
        <v>356</v>
      </c>
      <c r="E218" s="8">
        <v>322.11</v>
      </c>
      <c r="F218" s="5" t="s">
        <v>10</v>
      </c>
      <c r="G218" s="2" t="s">
        <v>23</v>
      </c>
    </row>
    <row r="219" spans="1:7" x14ac:dyDescent="0.2">
      <c r="A219" s="11">
        <v>199</v>
      </c>
      <c r="B219" s="5" t="s">
        <v>977</v>
      </c>
      <c r="C219" s="11">
        <v>84170114747</v>
      </c>
      <c r="D219" s="5" t="s">
        <v>978</v>
      </c>
      <c r="E219" s="8">
        <v>170</v>
      </c>
      <c r="F219" s="5" t="s">
        <v>10</v>
      </c>
      <c r="G219" s="2" t="s">
        <v>505</v>
      </c>
    </row>
    <row r="220" spans="1:7" x14ac:dyDescent="0.2">
      <c r="A220" s="11">
        <v>200</v>
      </c>
      <c r="B220" s="5" t="s">
        <v>794</v>
      </c>
      <c r="C220" s="11">
        <v>69927324836</v>
      </c>
      <c r="D220" s="5" t="s">
        <v>795</v>
      </c>
      <c r="E220" s="8">
        <v>417.24</v>
      </c>
      <c r="F220" s="5" t="s">
        <v>10</v>
      </c>
      <c r="G220" s="2" t="s">
        <v>23</v>
      </c>
    </row>
    <row r="221" spans="1:7" x14ac:dyDescent="0.2">
      <c r="A221" s="11">
        <v>201</v>
      </c>
      <c r="B221" s="5" t="s">
        <v>979</v>
      </c>
      <c r="C221" s="11">
        <v>43654507669</v>
      </c>
      <c r="D221" s="5" t="s">
        <v>980</v>
      </c>
      <c r="E221" s="8">
        <v>81.36</v>
      </c>
      <c r="F221" s="5" t="s">
        <v>10</v>
      </c>
      <c r="G221" s="2" t="s">
        <v>64</v>
      </c>
    </row>
    <row r="222" spans="1:7" x14ac:dyDescent="0.2">
      <c r="A222" s="11">
        <v>202</v>
      </c>
      <c r="B222" s="5" t="s">
        <v>614</v>
      </c>
      <c r="C222" s="11">
        <v>27050468625</v>
      </c>
      <c r="D222" s="5" t="s">
        <v>615</v>
      </c>
      <c r="E222" s="8">
        <v>5</v>
      </c>
      <c r="F222" s="5" t="s">
        <v>10</v>
      </c>
      <c r="G222" s="2" t="s">
        <v>176</v>
      </c>
    </row>
    <row r="223" spans="1:7" x14ac:dyDescent="0.2">
      <c r="A223" s="11">
        <v>203</v>
      </c>
      <c r="B223" s="5" t="s">
        <v>984</v>
      </c>
      <c r="C223" s="11">
        <v>26939564150</v>
      </c>
      <c r="D223" s="5" t="s">
        <v>981</v>
      </c>
      <c r="E223" s="8">
        <v>22.9</v>
      </c>
      <c r="F223" s="5" t="s">
        <v>10</v>
      </c>
      <c r="G223" s="2" t="s">
        <v>23</v>
      </c>
    </row>
    <row r="224" spans="1:7" x14ac:dyDescent="0.2">
      <c r="A224" s="11">
        <v>204</v>
      </c>
      <c r="B224" s="5" t="s">
        <v>982</v>
      </c>
      <c r="C224" s="12">
        <v>84698789700</v>
      </c>
      <c r="D224" s="5" t="s">
        <v>983</v>
      </c>
      <c r="E224" s="8">
        <v>24.88</v>
      </c>
      <c r="F224" s="5" t="s">
        <v>10</v>
      </c>
      <c r="G224" s="2" t="s">
        <v>173</v>
      </c>
    </row>
    <row r="225" spans="1:7" x14ac:dyDescent="0.2">
      <c r="A225" s="11">
        <v>205</v>
      </c>
      <c r="B225" s="5" t="s">
        <v>985</v>
      </c>
      <c r="C225" s="11">
        <v>92510683607</v>
      </c>
      <c r="D225" s="5" t="s">
        <v>986</v>
      </c>
      <c r="E225" s="8">
        <v>22.74</v>
      </c>
      <c r="F225" s="5" t="s">
        <v>10</v>
      </c>
      <c r="G225" s="2" t="s">
        <v>173</v>
      </c>
    </row>
    <row r="226" spans="1:7" x14ac:dyDescent="0.2">
      <c r="A226" s="11">
        <v>206</v>
      </c>
      <c r="B226" s="5" t="s">
        <v>987</v>
      </c>
      <c r="C226" s="12" t="s">
        <v>989</v>
      </c>
      <c r="D226" s="5" t="s">
        <v>988</v>
      </c>
      <c r="E226" s="8">
        <v>10.76</v>
      </c>
      <c r="F226" s="5" t="s">
        <v>10</v>
      </c>
      <c r="G226" s="2" t="s">
        <v>173</v>
      </c>
    </row>
    <row r="227" spans="1:7" x14ac:dyDescent="0.2">
      <c r="A227" s="11">
        <v>207</v>
      </c>
      <c r="B227" s="5" t="s">
        <v>444</v>
      </c>
      <c r="C227" s="11">
        <v>91330201308</v>
      </c>
      <c r="D227" s="5" t="s">
        <v>445</v>
      </c>
      <c r="E227" s="8">
        <v>909.84</v>
      </c>
      <c r="F227" s="5" t="s">
        <v>10</v>
      </c>
      <c r="G227" s="2" t="s">
        <v>23</v>
      </c>
    </row>
    <row r="228" spans="1:7" x14ac:dyDescent="0.2">
      <c r="A228" s="11">
        <v>208</v>
      </c>
      <c r="B228" s="5" t="s">
        <v>665</v>
      </c>
      <c r="C228" s="11" t="s">
        <v>667</v>
      </c>
      <c r="D228" s="5" t="s">
        <v>666</v>
      </c>
      <c r="E228" s="8">
        <v>87.2</v>
      </c>
      <c r="F228" s="5" t="s">
        <v>10</v>
      </c>
      <c r="G228" s="2" t="s">
        <v>23</v>
      </c>
    </row>
    <row r="229" spans="1:7" x14ac:dyDescent="0.2">
      <c r="A229" s="11">
        <v>209</v>
      </c>
      <c r="B229" s="5" t="s">
        <v>787</v>
      </c>
      <c r="C229" s="11" t="s">
        <v>788</v>
      </c>
      <c r="D229" s="5" t="s">
        <v>789</v>
      </c>
      <c r="E229" s="8">
        <v>1961.4</v>
      </c>
      <c r="F229" s="5" t="s">
        <v>10</v>
      </c>
      <c r="G229" s="2" t="s">
        <v>23</v>
      </c>
    </row>
    <row r="230" spans="1:7" x14ac:dyDescent="0.2">
      <c r="A230" s="11">
        <v>210</v>
      </c>
      <c r="B230" s="5" t="s">
        <v>552</v>
      </c>
      <c r="C230" s="12" t="s">
        <v>554</v>
      </c>
      <c r="D230" s="5" t="s">
        <v>553</v>
      </c>
      <c r="E230" s="8">
        <v>1280.56</v>
      </c>
      <c r="F230" s="5" t="s">
        <v>10</v>
      </c>
      <c r="G230" s="2" t="s">
        <v>23</v>
      </c>
    </row>
    <row r="231" spans="1:7" x14ac:dyDescent="0.2">
      <c r="A231" s="11">
        <v>211</v>
      </c>
      <c r="B231" s="5" t="s">
        <v>555</v>
      </c>
      <c r="C231" s="11">
        <v>56733014701</v>
      </c>
      <c r="D231" s="5" t="s">
        <v>556</v>
      </c>
      <c r="E231" s="8">
        <v>1630</v>
      </c>
      <c r="F231" s="5" t="s">
        <v>10</v>
      </c>
      <c r="G231" s="2" t="s">
        <v>23</v>
      </c>
    </row>
    <row r="232" spans="1:7" x14ac:dyDescent="0.2">
      <c r="A232" s="11">
        <v>212</v>
      </c>
      <c r="B232" s="5" t="s">
        <v>839</v>
      </c>
      <c r="C232" s="11">
        <v>27740284011</v>
      </c>
      <c r="D232" s="5" t="s">
        <v>840</v>
      </c>
      <c r="E232" s="8">
        <v>28.75</v>
      </c>
      <c r="F232" s="5" t="s">
        <v>10</v>
      </c>
      <c r="G232" s="2" t="s">
        <v>23</v>
      </c>
    </row>
    <row r="233" spans="1:7" x14ac:dyDescent="0.2">
      <c r="A233" s="11">
        <v>213</v>
      </c>
      <c r="B233" s="5" t="s">
        <v>571</v>
      </c>
      <c r="C233" s="11">
        <v>75202805533</v>
      </c>
      <c r="D233" s="5" t="s">
        <v>588</v>
      </c>
      <c r="E233" s="8">
        <v>138.96</v>
      </c>
      <c r="F233" s="5" t="s">
        <v>10</v>
      </c>
      <c r="G233" s="2" t="s">
        <v>23</v>
      </c>
    </row>
    <row r="234" spans="1:7" x14ac:dyDescent="0.2">
      <c r="A234" s="11">
        <v>214</v>
      </c>
      <c r="B234" s="5" t="s">
        <v>835</v>
      </c>
      <c r="C234" s="11">
        <v>73927927880</v>
      </c>
      <c r="D234" s="5" t="s">
        <v>836</v>
      </c>
      <c r="E234" s="8">
        <v>2187.5</v>
      </c>
      <c r="F234" s="5" t="s">
        <v>10</v>
      </c>
      <c r="G234" s="2" t="s">
        <v>287</v>
      </c>
    </row>
    <row r="235" spans="1:7" x14ac:dyDescent="0.2">
      <c r="A235" s="11">
        <v>215</v>
      </c>
      <c r="B235" s="5" t="s">
        <v>593</v>
      </c>
      <c r="C235" s="11">
        <v>41261796409</v>
      </c>
      <c r="D235" s="5" t="s">
        <v>592</v>
      </c>
      <c r="E235" s="8">
        <v>1272.5</v>
      </c>
      <c r="F235" s="5" t="s">
        <v>10</v>
      </c>
      <c r="G235" s="2" t="s">
        <v>23</v>
      </c>
    </row>
    <row r="236" spans="1:7" x14ac:dyDescent="0.2">
      <c r="A236" s="11">
        <v>216</v>
      </c>
      <c r="B236" s="5" t="s">
        <v>709</v>
      </c>
      <c r="C236" s="11">
        <v>34604734054</v>
      </c>
      <c r="D236" s="5" t="s">
        <v>710</v>
      </c>
      <c r="E236" s="8">
        <v>40.729999999999997</v>
      </c>
      <c r="F236" s="5" t="s">
        <v>10</v>
      </c>
      <c r="G236" s="2" t="s">
        <v>330</v>
      </c>
    </row>
    <row r="237" spans="1:7" x14ac:dyDescent="0.2">
      <c r="A237" s="11">
        <v>217</v>
      </c>
      <c r="B237" s="5" t="s">
        <v>585</v>
      </c>
      <c r="C237" s="11">
        <v>25706416813</v>
      </c>
      <c r="D237" s="5" t="s">
        <v>761</v>
      </c>
      <c r="E237" s="8">
        <v>1195.1600000000001</v>
      </c>
      <c r="F237" s="5" t="s">
        <v>10</v>
      </c>
      <c r="G237" s="2" t="s">
        <v>23</v>
      </c>
    </row>
    <row r="238" spans="1:7" ht="5.25" customHeight="1" x14ac:dyDescent="0.2">
      <c r="A238" s="11"/>
      <c r="B238" s="5"/>
      <c r="C238" s="11"/>
      <c r="D238" s="5"/>
      <c r="E238" s="8"/>
      <c r="F238" s="5"/>
      <c r="G238" s="2"/>
    </row>
    <row r="240" spans="1:7" x14ac:dyDescent="0.2">
      <c r="D240" s="51" t="s">
        <v>1226</v>
      </c>
      <c r="E240" s="52">
        <f>SUM(E11:E238)</f>
        <v>1633782.8599999989</v>
      </c>
    </row>
    <row r="247" spans="3:7" x14ac:dyDescent="0.2">
      <c r="C247" s="22"/>
    </row>
    <row r="248" spans="3:7" x14ac:dyDescent="0.2">
      <c r="D248" s="13"/>
      <c r="G248" s="13"/>
    </row>
  </sheetData>
  <sheetProtection algorithmName="SHA-512" hashValue="8d/Sd0j90zFqAsiHBfqeAqp2v/L+dbp9mn3qqaBxlTmSx+DbLOMiCIM+/94nyEx5nQRPabcj+6EPYuUSZmCPNw==" saltValue="XBnr5I+HQMWz+UjlliiPMw==" spinCount="100000" sheet="1" objects="1" scenarios="1" selectLockedCells="1" autoFilter="0" selectUnlockedCells="1"/>
  <autoFilter ref="A10:G237" xr:uid="{1950F4FB-0261-43D0-828A-F0FFB9B4258F}"/>
  <mergeCells count="47">
    <mergeCell ref="D98:D99"/>
    <mergeCell ref="A140:A141"/>
    <mergeCell ref="B140:B141"/>
    <mergeCell ref="C140:C141"/>
    <mergeCell ref="D140:D141"/>
    <mergeCell ref="A116:A117"/>
    <mergeCell ref="B116:B117"/>
    <mergeCell ref="B98:B99"/>
    <mergeCell ref="C98:C99"/>
    <mergeCell ref="A98:A99"/>
    <mergeCell ref="F140:F141"/>
    <mergeCell ref="C116:C117"/>
    <mergeCell ref="D116:D117"/>
    <mergeCell ref="F116:F117"/>
    <mergeCell ref="A101:A102"/>
    <mergeCell ref="B101:B102"/>
    <mergeCell ref="C101:C102"/>
    <mergeCell ref="D101:D102"/>
    <mergeCell ref="F101:F102"/>
    <mergeCell ref="F38:F40"/>
    <mergeCell ref="D38:D40"/>
    <mergeCell ref="C38:C40"/>
    <mergeCell ref="B38:B40"/>
    <mergeCell ref="A38:A40"/>
    <mergeCell ref="A55:A56"/>
    <mergeCell ref="B55:B56"/>
    <mergeCell ref="C55:C56"/>
    <mergeCell ref="D55:D56"/>
    <mergeCell ref="F55:F56"/>
    <mergeCell ref="A36:A37"/>
    <mergeCell ref="B36:B37"/>
    <mergeCell ref="C36:C37"/>
    <mergeCell ref="D36:D37"/>
    <mergeCell ref="F36:F37"/>
    <mergeCell ref="F33:F34"/>
    <mergeCell ref="A6:B6"/>
    <mergeCell ref="A7:B7"/>
    <mergeCell ref="C8:F8"/>
    <mergeCell ref="A27:A28"/>
    <mergeCell ref="B27:B28"/>
    <mergeCell ref="C27:C28"/>
    <mergeCell ref="D27:D28"/>
    <mergeCell ref="F27:F28"/>
    <mergeCell ref="A33:A34"/>
    <mergeCell ref="B33:B34"/>
    <mergeCell ref="C33:C34"/>
    <mergeCell ref="D33:D34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BEE00-8ACE-43DA-87CB-A748415E49CD}">
  <sheetPr codeName="List4"/>
  <dimension ref="A5:L275"/>
  <sheetViews>
    <sheetView workbookViewId="0">
      <selection activeCell="G270" sqref="G270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74" t="s">
        <v>7</v>
      </c>
      <c r="B6" s="74"/>
    </row>
    <row r="7" spans="1:7" x14ac:dyDescent="0.2">
      <c r="A7" s="74" t="s">
        <v>8</v>
      </c>
      <c r="B7" s="74"/>
    </row>
    <row r="8" spans="1:7" x14ac:dyDescent="0.2">
      <c r="A8" s="25"/>
      <c r="B8" s="6"/>
      <c r="C8" s="75" t="s">
        <v>990</v>
      </c>
      <c r="D8" s="75"/>
      <c r="E8" s="75"/>
      <c r="F8" s="75"/>
    </row>
    <row r="10" spans="1:7" x14ac:dyDescent="0.2">
      <c r="A10" s="3" t="s">
        <v>1</v>
      </c>
      <c r="B10" s="4" t="s">
        <v>0</v>
      </c>
      <c r="C10" s="3" t="s">
        <v>42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11</v>
      </c>
      <c r="C11" s="11">
        <v>23780250353</v>
      </c>
      <c r="D11" s="5" t="s">
        <v>27</v>
      </c>
      <c r="E11" s="8">
        <f>992.11+1994.69</f>
        <v>2986.8</v>
      </c>
      <c r="F11" s="5" t="s">
        <v>10</v>
      </c>
      <c r="G11" s="2" t="s">
        <v>12</v>
      </c>
    </row>
    <row r="12" spans="1:7" x14ac:dyDescent="0.2">
      <c r="A12" s="11">
        <v>2</v>
      </c>
      <c r="B12" s="5" t="s">
        <v>13</v>
      </c>
      <c r="C12" s="11">
        <v>90275854576</v>
      </c>
      <c r="D12" s="5" t="s">
        <v>28</v>
      </c>
      <c r="E12" s="8">
        <v>329.6</v>
      </c>
      <c r="F12" s="5" t="s">
        <v>10</v>
      </c>
      <c r="G12" s="2" t="s">
        <v>12</v>
      </c>
    </row>
    <row r="13" spans="1:7" x14ac:dyDescent="0.2">
      <c r="A13" s="11">
        <v>3</v>
      </c>
      <c r="B13" s="5" t="s">
        <v>14</v>
      </c>
      <c r="C13" s="11">
        <v>87939104217</v>
      </c>
      <c r="D13" s="5" t="s">
        <v>15</v>
      </c>
      <c r="E13" s="8">
        <v>77.92</v>
      </c>
      <c r="F13" s="5" t="s">
        <v>10</v>
      </c>
      <c r="G13" s="2" t="s">
        <v>16</v>
      </c>
    </row>
    <row r="14" spans="1:7" x14ac:dyDescent="0.2">
      <c r="A14" s="11">
        <v>4</v>
      </c>
      <c r="B14" s="5" t="s">
        <v>17</v>
      </c>
      <c r="C14" s="11" t="s">
        <v>17</v>
      </c>
      <c r="D14" s="5" t="s">
        <v>17</v>
      </c>
      <c r="E14" s="8">
        <f>560</f>
        <v>560</v>
      </c>
      <c r="F14" s="5" t="s">
        <v>10</v>
      </c>
      <c r="G14" s="2" t="s">
        <v>18</v>
      </c>
    </row>
    <row r="15" spans="1:7" ht="14.25" customHeight="1" x14ac:dyDescent="0.2">
      <c r="A15" s="11">
        <v>5</v>
      </c>
      <c r="B15" s="5" t="s">
        <v>19</v>
      </c>
      <c r="C15" s="12" t="s">
        <v>30</v>
      </c>
      <c r="D15" s="9" t="s">
        <v>31</v>
      </c>
      <c r="E15" s="8">
        <f>5274.75+5207.69</f>
        <v>10482.439999999999</v>
      </c>
      <c r="F15" s="5" t="s">
        <v>10</v>
      </c>
      <c r="G15" s="2" t="s">
        <v>20</v>
      </c>
    </row>
    <row r="16" spans="1:7" x14ac:dyDescent="0.2">
      <c r="A16" s="11">
        <v>6</v>
      </c>
      <c r="B16" s="5" t="s">
        <v>22</v>
      </c>
      <c r="C16" s="11">
        <v>85167032587</v>
      </c>
      <c r="D16" s="5" t="s">
        <v>29</v>
      </c>
      <c r="E16" s="8">
        <v>527.30999999999995</v>
      </c>
      <c r="F16" s="5" t="s">
        <v>10</v>
      </c>
      <c r="G16" s="2" t="s">
        <v>21</v>
      </c>
    </row>
    <row r="17" spans="1:8" x14ac:dyDescent="0.2">
      <c r="A17" s="11">
        <v>7</v>
      </c>
      <c r="B17" s="5" t="s">
        <v>180</v>
      </c>
      <c r="C17" s="11">
        <v>87311810356</v>
      </c>
      <c r="D17" s="5" t="s">
        <v>229</v>
      </c>
      <c r="E17" s="8">
        <v>389.08</v>
      </c>
      <c r="F17" s="5" t="s">
        <v>10</v>
      </c>
      <c r="G17" s="2" t="s">
        <v>179</v>
      </c>
    </row>
    <row r="18" spans="1:8" x14ac:dyDescent="0.2">
      <c r="A18" s="11">
        <v>8</v>
      </c>
      <c r="B18" s="5" t="s">
        <v>688</v>
      </c>
      <c r="C18" s="11">
        <v>44040649076</v>
      </c>
      <c r="D18" s="5" t="s">
        <v>689</v>
      </c>
      <c r="E18" s="8">
        <v>70750</v>
      </c>
      <c r="F18" s="5" t="s">
        <v>10</v>
      </c>
      <c r="G18" s="2" t="s">
        <v>23</v>
      </c>
    </row>
    <row r="19" spans="1:8" x14ac:dyDescent="0.2">
      <c r="A19" s="11">
        <v>9</v>
      </c>
      <c r="B19" s="5" t="s">
        <v>682</v>
      </c>
      <c r="C19" s="11" t="s">
        <v>683</v>
      </c>
      <c r="D19" s="5" t="s">
        <v>684</v>
      </c>
      <c r="E19" s="8">
        <v>45466</v>
      </c>
      <c r="F19" s="5" t="s">
        <v>10</v>
      </c>
      <c r="G19" s="2" t="s">
        <v>23</v>
      </c>
    </row>
    <row r="20" spans="1:8" x14ac:dyDescent="0.2">
      <c r="A20" s="11">
        <v>10</v>
      </c>
      <c r="B20" s="5" t="s">
        <v>17</v>
      </c>
      <c r="C20" s="11" t="s">
        <v>17</v>
      </c>
      <c r="D20" s="5" t="s">
        <v>17</v>
      </c>
      <c r="E20" s="8">
        <f>1050068.96+1130.08+190.4</f>
        <v>1051389.4399999999</v>
      </c>
      <c r="F20" s="5" t="s">
        <v>10</v>
      </c>
      <c r="G20" s="2" t="s">
        <v>34</v>
      </c>
    </row>
    <row r="21" spans="1:8" ht="15" customHeight="1" x14ac:dyDescent="0.2">
      <c r="A21" s="11">
        <v>11</v>
      </c>
      <c r="B21" s="5" t="s">
        <v>154</v>
      </c>
      <c r="C21" s="11">
        <v>33001753417</v>
      </c>
      <c r="D21" s="5" t="s">
        <v>213</v>
      </c>
      <c r="E21" s="8">
        <v>5780</v>
      </c>
      <c r="F21" s="5" t="s">
        <v>10</v>
      </c>
      <c r="G21" s="2" t="s">
        <v>23</v>
      </c>
    </row>
    <row r="22" spans="1:8" x14ac:dyDescent="0.2">
      <c r="A22" s="11">
        <v>12</v>
      </c>
      <c r="B22" s="5" t="s">
        <v>579</v>
      </c>
      <c r="C22" s="11">
        <v>54527841697</v>
      </c>
      <c r="D22" s="5" t="s">
        <v>602</v>
      </c>
      <c r="E22" s="8">
        <v>1456.12</v>
      </c>
      <c r="F22" s="5" t="s">
        <v>10</v>
      </c>
      <c r="G22" s="2" t="s">
        <v>23</v>
      </c>
    </row>
    <row r="23" spans="1:8" x14ac:dyDescent="0.2">
      <c r="A23" s="11">
        <v>13</v>
      </c>
      <c r="B23" s="5" t="s">
        <v>39</v>
      </c>
      <c r="C23" s="12" t="s">
        <v>44</v>
      </c>
      <c r="D23" s="5" t="s">
        <v>43</v>
      </c>
      <c r="E23" s="8">
        <f>3+1529.36+15</f>
        <v>1547.36</v>
      </c>
      <c r="F23" s="5" t="s">
        <v>10</v>
      </c>
      <c r="G23" s="2" t="s">
        <v>16</v>
      </c>
    </row>
    <row r="24" spans="1:8" x14ac:dyDescent="0.2">
      <c r="A24" s="11">
        <v>14</v>
      </c>
      <c r="B24" s="5" t="s">
        <v>45</v>
      </c>
      <c r="C24" s="11">
        <v>57500462912</v>
      </c>
      <c r="D24" s="5" t="s">
        <v>47</v>
      </c>
      <c r="E24" s="8">
        <v>964</v>
      </c>
      <c r="F24" s="5" t="s">
        <v>10</v>
      </c>
      <c r="G24" s="2" t="s">
        <v>46</v>
      </c>
    </row>
    <row r="25" spans="1:8" x14ac:dyDescent="0.2">
      <c r="A25" s="11">
        <v>15</v>
      </c>
      <c r="B25" s="5" t="s">
        <v>17</v>
      </c>
      <c r="C25" s="11" t="s">
        <v>17</v>
      </c>
      <c r="D25" s="5" t="s">
        <v>17</v>
      </c>
      <c r="E25" s="8">
        <v>6588.76</v>
      </c>
      <c r="F25" s="5" t="s">
        <v>10</v>
      </c>
      <c r="G25" s="2" t="s">
        <v>991</v>
      </c>
    </row>
    <row r="26" spans="1:8" x14ac:dyDescent="0.2">
      <c r="A26" s="36">
        <v>16</v>
      </c>
      <c r="B26" s="19" t="s">
        <v>297</v>
      </c>
      <c r="C26" s="36">
        <v>72836081238</v>
      </c>
      <c r="D26" s="19" t="s">
        <v>298</v>
      </c>
      <c r="E26" s="15">
        <v>25093.599999999999</v>
      </c>
      <c r="F26" s="19" t="s">
        <v>10</v>
      </c>
      <c r="G26" s="28" t="s">
        <v>23</v>
      </c>
    </row>
    <row r="27" spans="1:8" x14ac:dyDescent="0.2">
      <c r="A27" s="45">
        <v>17</v>
      </c>
      <c r="B27" s="5" t="s">
        <v>388</v>
      </c>
      <c r="C27" s="11" t="s">
        <v>390</v>
      </c>
      <c r="D27" s="5" t="s">
        <v>389</v>
      </c>
      <c r="E27" s="8">
        <v>12100</v>
      </c>
      <c r="F27" s="44" t="s">
        <v>10</v>
      </c>
      <c r="G27" s="2" t="s">
        <v>23</v>
      </c>
    </row>
    <row r="28" spans="1:8" x14ac:dyDescent="0.2">
      <c r="A28" s="11">
        <v>18</v>
      </c>
      <c r="B28" s="5" t="s">
        <v>56</v>
      </c>
      <c r="C28" s="11">
        <v>23308926345</v>
      </c>
      <c r="D28" s="5" t="s">
        <v>74</v>
      </c>
      <c r="E28" s="8">
        <v>414.62</v>
      </c>
      <c r="F28" s="5" t="s">
        <v>10</v>
      </c>
      <c r="G28" s="2" t="s">
        <v>55</v>
      </c>
      <c r="H28" s="13"/>
    </row>
    <row r="29" spans="1:8" x14ac:dyDescent="0.2">
      <c r="A29" s="36">
        <v>19</v>
      </c>
      <c r="B29" s="23" t="s">
        <v>613</v>
      </c>
      <c r="C29" s="24">
        <v>66253945791</v>
      </c>
      <c r="D29" s="38" t="s">
        <v>67</v>
      </c>
      <c r="E29" s="8">
        <v>83264.820000000007</v>
      </c>
      <c r="F29" s="23" t="s">
        <v>10</v>
      </c>
      <c r="G29" s="2" t="s">
        <v>58</v>
      </c>
    </row>
    <row r="30" spans="1:8" x14ac:dyDescent="0.2">
      <c r="A30" s="11">
        <v>20</v>
      </c>
      <c r="B30" s="5" t="s">
        <v>478</v>
      </c>
      <c r="C30" s="11">
        <v>25712329343</v>
      </c>
      <c r="D30" s="5" t="s">
        <v>479</v>
      </c>
      <c r="E30" s="17">
        <v>786.13</v>
      </c>
      <c r="F30" s="5" t="s">
        <v>10</v>
      </c>
      <c r="G30" s="2" t="s">
        <v>23</v>
      </c>
    </row>
    <row r="31" spans="1:8" x14ac:dyDescent="0.2">
      <c r="A31" s="36">
        <v>21</v>
      </c>
      <c r="B31" s="19" t="s">
        <v>59</v>
      </c>
      <c r="C31" s="36">
        <v>63073332379</v>
      </c>
      <c r="D31" s="19" t="s">
        <v>73</v>
      </c>
      <c r="E31" s="15">
        <v>4318.54</v>
      </c>
      <c r="F31" s="19" t="s">
        <v>10</v>
      </c>
      <c r="G31" s="28" t="s">
        <v>61</v>
      </c>
    </row>
    <row r="32" spans="1:8" x14ac:dyDescent="0.2">
      <c r="A32" s="45">
        <v>22</v>
      </c>
      <c r="B32" s="5" t="s">
        <v>480</v>
      </c>
      <c r="C32" s="11">
        <v>69857578031</v>
      </c>
      <c r="D32" s="5" t="s">
        <v>482</v>
      </c>
      <c r="E32" s="8">
        <v>1216.78</v>
      </c>
      <c r="F32" s="44" t="s">
        <v>10</v>
      </c>
      <c r="G32" s="2" t="s">
        <v>481</v>
      </c>
    </row>
    <row r="33" spans="1:7" ht="12.75" thickBot="1" x14ac:dyDescent="0.25">
      <c r="A33" s="47">
        <f>A32+1</f>
        <v>23</v>
      </c>
      <c r="B33" s="5" t="s">
        <v>755</v>
      </c>
      <c r="C33" s="11">
        <v>44270699963</v>
      </c>
      <c r="D33" s="5" t="s">
        <v>756</v>
      </c>
      <c r="E33" s="18">
        <v>29.7</v>
      </c>
      <c r="F33" s="35" t="s">
        <v>10</v>
      </c>
      <c r="G33" s="32" t="s">
        <v>112</v>
      </c>
    </row>
    <row r="34" spans="1:7" ht="15" customHeight="1" x14ac:dyDescent="0.2">
      <c r="A34" s="84">
        <v>24</v>
      </c>
      <c r="B34" s="82" t="s">
        <v>76</v>
      </c>
      <c r="C34" s="84">
        <v>11471889269</v>
      </c>
      <c r="D34" s="82" t="s">
        <v>77</v>
      </c>
      <c r="E34" s="16">
        <v>6487.56</v>
      </c>
      <c r="F34" s="82" t="s">
        <v>10</v>
      </c>
      <c r="G34" s="31" t="s">
        <v>58</v>
      </c>
    </row>
    <row r="35" spans="1:7" ht="12.75" thickBot="1" x14ac:dyDescent="0.25">
      <c r="A35" s="85"/>
      <c r="B35" s="83"/>
      <c r="C35" s="85"/>
      <c r="D35" s="83"/>
      <c r="E35" s="18">
        <v>25689.26</v>
      </c>
      <c r="F35" s="83"/>
      <c r="G35" s="32" t="s">
        <v>23</v>
      </c>
    </row>
    <row r="36" spans="1:7" x14ac:dyDescent="0.2">
      <c r="A36" s="84">
        <v>25</v>
      </c>
      <c r="B36" s="82" t="s">
        <v>78</v>
      </c>
      <c r="C36" s="84">
        <v>27759560625</v>
      </c>
      <c r="D36" s="82" t="s">
        <v>80</v>
      </c>
      <c r="E36" s="16">
        <v>6538.86</v>
      </c>
      <c r="F36" s="82" t="s">
        <v>10</v>
      </c>
      <c r="G36" s="31" t="s">
        <v>79</v>
      </c>
    </row>
    <row r="37" spans="1:7" x14ac:dyDescent="0.2">
      <c r="A37" s="70"/>
      <c r="B37" s="69"/>
      <c r="C37" s="70"/>
      <c r="D37" s="69"/>
      <c r="E37" s="8">
        <v>1002.43</v>
      </c>
      <c r="F37" s="69"/>
      <c r="G37" s="2" t="s">
        <v>23</v>
      </c>
    </row>
    <row r="38" spans="1:7" ht="12.75" thickBot="1" x14ac:dyDescent="0.25">
      <c r="A38" s="85"/>
      <c r="B38" s="83"/>
      <c r="C38" s="85"/>
      <c r="D38" s="83"/>
      <c r="E38" s="18">
        <v>72791.92</v>
      </c>
      <c r="F38" s="83"/>
      <c r="G38" s="32" t="s">
        <v>81</v>
      </c>
    </row>
    <row r="39" spans="1:7" x14ac:dyDescent="0.2">
      <c r="A39" s="37">
        <v>26</v>
      </c>
      <c r="B39" s="33" t="s">
        <v>994</v>
      </c>
      <c r="C39" s="42">
        <v>75550985023</v>
      </c>
      <c r="D39" s="33" t="s">
        <v>995</v>
      </c>
      <c r="E39" s="17">
        <v>62.22</v>
      </c>
      <c r="F39" s="33" t="s">
        <v>10</v>
      </c>
      <c r="G39" s="34" t="s">
        <v>79</v>
      </c>
    </row>
    <row r="40" spans="1:7" x14ac:dyDescent="0.2">
      <c r="A40" s="11">
        <v>27</v>
      </c>
      <c r="B40" s="5" t="s">
        <v>550</v>
      </c>
      <c r="C40" s="11">
        <v>22911773746</v>
      </c>
      <c r="D40" s="5" t="s">
        <v>551</v>
      </c>
      <c r="E40" s="8">
        <v>10150</v>
      </c>
      <c r="F40" s="5" t="s">
        <v>10</v>
      </c>
      <c r="G40" s="2" t="s">
        <v>23</v>
      </c>
    </row>
    <row r="41" spans="1:7" x14ac:dyDescent="0.2">
      <c r="A41" s="11">
        <v>28</v>
      </c>
      <c r="B41" s="5" t="s">
        <v>88</v>
      </c>
      <c r="C41" s="11">
        <v>42889250808</v>
      </c>
      <c r="D41" s="5" t="s">
        <v>90</v>
      </c>
      <c r="E41" s="8">
        <v>80.38</v>
      </c>
      <c r="F41" s="5" t="s">
        <v>10</v>
      </c>
      <c r="G41" s="2" t="s">
        <v>86</v>
      </c>
    </row>
    <row r="42" spans="1:7" x14ac:dyDescent="0.2">
      <c r="A42" s="11">
        <v>29</v>
      </c>
      <c r="B42" s="5" t="s">
        <v>87</v>
      </c>
      <c r="C42" s="12" t="s">
        <v>92</v>
      </c>
      <c r="D42" s="5" t="s">
        <v>91</v>
      </c>
      <c r="E42" s="8">
        <v>1294.1600000000001</v>
      </c>
      <c r="F42" s="5" t="s">
        <v>10</v>
      </c>
      <c r="G42" s="2" t="s">
        <v>86</v>
      </c>
    </row>
    <row r="43" spans="1:7" x14ac:dyDescent="0.2">
      <c r="A43" s="11">
        <v>30</v>
      </c>
      <c r="B43" s="5" t="s">
        <v>83</v>
      </c>
      <c r="C43" s="11">
        <v>68419124305</v>
      </c>
      <c r="D43" s="5" t="s">
        <v>84</v>
      </c>
      <c r="E43" s="8">
        <v>254.88</v>
      </c>
      <c r="F43" s="5" t="s">
        <v>10</v>
      </c>
      <c r="G43" s="2" t="s">
        <v>82</v>
      </c>
    </row>
    <row r="44" spans="1:7" x14ac:dyDescent="0.2">
      <c r="A44" s="11">
        <v>31</v>
      </c>
      <c r="B44" s="5" t="s">
        <v>195</v>
      </c>
      <c r="C44" s="11">
        <v>85621555748</v>
      </c>
      <c r="D44" s="5" t="s">
        <v>241</v>
      </c>
      <c r="E44" s="8">
        <v>615</v>
      </c>
      <c r="F44" s="5" t="s">
        <v>10</v>
      </c>
      <c r="G44" s="2" t="s">
        <v>173</v>
      </c>
    </row>
    <row r="45" spans="1:7" x14ac:dyDescent="0.2">
      <c r="A45" s="11">
        <v>32</v>
      </c>
      <c r="B45" s="5" t="s">
        <v>100</v>
      </c>
      <c r="C45" s="11" t="s">
        <v>17</v>
      </c>
      <c r="D45" s="5" t="s">
        <v>17</v>
      </c>
      <c r="E45" s="8">
        <v>218.88</v>
      </c>
      <c r="F45" s="5" t="s">
        <v>10</v>
      </c>
      <c r="G45" s="2" t="s">
        <v>99</v>
      </c>
    </row>
    <row r="46" spans="1:7" x14ac:dyDescent="0.2">
      <c r="A46" s="11">
        <v>33</v>
      </c>
      <c r="B46" s="5" t="s">
        <v>17</v>
      </c>
      <c r="C46" s="11" t="s">
        <v>17</v>
      </c>
      <c r="D46" s="5" t="s">
        <v>17</v>
      </c>
      <c r="E46" s="8">
        <v>4368</v>
      </c>
      <c r="F46" s="5" t="s">
        <v>10</v>
      </c>
      <c r="G46" s="2" t="s">
        <v>101</v>
      </c>
    </row>
    <row r="47" spans="1:7" x14ac:dyDescent="0.2">
      <c r="A47" s="11">
        <v>34</v>
      </c>
      <c r="B47" s="5" t="s">
        <v>711</v>
      </c>
      <c r="C47" s="11">
        <v>33813961569</v>
      </c>
      <c r="D47" s="5" t="s">
        <v>712</v>
      </c>
      <c r="E47" s="8">
        <v>419.57</v>
      </c>
      <c r="F47" s="5" t="s">
        <v>10</v>
      </c>
      <c r="G47" s="2" t="s">
        <v>112</v>
      </c>
    </row>
    <row r="48" spans="1:7" x14ac:dyDescent="0.2">
      <c r="A48" s="11">
        <v>35</v>
      </c>
      <c r="B48" s="5" t="s">
        <v>648</v>
      </c>
      <c r="C48" s="12">
        <v>80423934513</v>
      </c>
      <c r="D48" s="5" t="s">
        <v>649</v>
      </c>
      <c r="E48" s="8">
        <v>865.25</v>
      </c>
      <c r="F48" s="5" t="s">
        <v>10</v>
      </c>
      <c r="G48" s="2" t="s">
        <v>260</v>
      </c>
    </row>
    <row r="49" spans="1:9" x14ac:dyDescent="0.2">
      <c r="A49" s="11">
        <v>36</v>
      </c>
      <c r="B49" s="5" t="s">
        <v>270</v>
      </c>
      <c r="C49" s="11">
        <v>31174430130</v>
      </c>
      <c r="D49" s="5" t="s">
        <v>271</v>
      </c>
      <c r="E49" s="8">
        <v>590.46</v>
      </c>
      <c r="F49" s="5" t="s">
        <v>10</v>
      </c>
      <c r="G49" s="2" t="s">
        <v>112</v>
      </c>
    </row>
    <row r="50" spans="1:9" x14ac:dyDescent="0.2">
      <c r="A50" s="11">
        <v>37</v>
      </c>
      <c r="B50" s="5" t="s">
        <v>109</v>
      </c>
      <c r="C50" s="11">
        <v>32179081874</v>
      </c>
      <c r="D50" s="5" t="s">
        <v>110</v>
      </c>
      <c r="E50" s="15">
        <v>83.56</v>
      </c>
      <c r="F50" s="19" t="s">
        <v>10</v>
      </c>
      <c r="G50" s="28" t="s">
        <v>108</v>
      </c>
    </row>
    <row r="51" spans="1:9" x14ac:dyDescent="0.2">
      <c r="A51" s="11">
        <v>38</v>
      </c>
      <c r="B51" s="23" t="s">
        <v>113</v>
      </c>
      <c r="C51" s="24">
        <v>76173743169</v>
      </c>
      <c r="D51" s="23" t="s">
        <v>111</v>
      </c>
      <c r="E51" s="8">
        <v>550.34</v>
      </c>
      <c r="F51" s="23" t="s">
        <v>10</v>
      </c>
      <c r="G51" s="2" t="s">
        <v>108</v>
      </c>
    </row>
    <row r="52" spans="1:9" ht="12.75" thickBot="1" x14ac:dyDescent="0.25">
      <c r="A52" s="11">
        <v>39</v>
      </c>
      <c r="B52" s="19" t="s">
        <v>114</v>
      </c>
      <c r="C52" s="43" t="s">
        <v>116</v>
      </c>
      <c r="D52" s="19" t="s">
        <v>117</v>
      </c>
      <c r="E52" s="15">
        <v>957.01</v>
      </c>
      <c r="F52" s="19" t="s">
        <v>10</v>
      </c>
      <c r="G52" s="28" t="s">
        <v>115</v>
      </c>
    </row>
    <row r="53" spans="1:9" x14ac:dyDescent="0.2">
      <c r="A53" s="84">
        <v>40</v>
      </c>
      <c r="B53" s="82" t="s">
        <v>119</v>
      </c>
      <c r="C53" s="84">
        <v>34976993601</v>
      </c>
      <c r="D53" s="82" t="s">
        <v>120</v>
      </c>
      <c r="E53" s="16">
        <v>1048.17</v>
      </c>
      <c r="F53" s="82" t="s">
        <v>10</v>
      </c>
      <c r="G53" s="31" t="s">
        <v>118</v>
      </c>
    </row>
    <row r="54" spans="1:9" ht="12.75" thickBot="1" x14ac:dyDescent="0.25">
      <c r="A54" s="85"/>
      <c r="B54" s="83"/>
      <c r="C54" s="85"/>
      <c r="D54" s="83"/>
      <c r="E54" s="18">
        <v>151.71</v>
      </c>
      <c r="F54" s="83"/>
      <c r="G54" s="32" t="s">
        <v>287</v>
      </c>
    </row>
    <row r="55" spans="1:9" x14ac:dyDescent="0.2">
      <c r="A55" s="37">
        <v>41</v>
      </c>
      <c r="B55" s="33" t="s">
        <v>17</v>
      </c>
      <c r="C55" s="37" t="s">
        <v>17</v>
      </c>
      <c r="D55" s="33" t="s">
        <v>17</v>
      </c>
      <c r="E55" s="17">
        <v>1753.1</v>
      </c>
      <c r="F55" s="33" t="s">
        <v>10</v>
      </c>
      <c r="G55" s="34" t="s">
        <v>121</v>
      </c>
    </row>
    <row r="56" spans="1:9" x14ac:dyDescent="0.2">
      <c r="A56" s="11">
        <v>42</v>
      </c>
      <c r="B56" s="5" t="s">
        <v>17</v>
      </c>
      <c r="C56" s="11" t="s">
        <v>17</v>
      </c>
      <c r="D56" s="5" t="s">
        <v>17</v>
      </c>
      <c r="E56" s="8">
        <v>21640.32</v>
      </c>
      <c r="F56" s="5" t="s">
        <v>10</v>
      </c>
      <c r="G56" s="2" t="s">
        <v>122</v>
      </c>
    </row>
    <row r="57" spans="1:9" x14ac:dyDescent="0.2">
      <c r="A57" s="11">
        <v>43</v>
      </c>
      <c r="B57" s="5" t="s">
        <v>17</v>
      </c>
      <c r="C57" s="11" t="s">
        <v>17</v>
      </c>
      <c r="D57" s="5" t="s">
        <v>17</v>
      </c>
      <c r="E57" s="8">
        <f>560+1120</f>
        <v>1680</v>
      </c>
      <c r="F57" s="5" t="s">
        <v>10</v>
      </c>
      <c r="G57" s="2" t="s">
        <v>123</v>
      </c>
    </row>
    <row r="58" spans="1:9" x14ac:dyDescent="0.2">
      <c r="A58" s="11">
        <v>44</v>
      </c>
      <c r="B58" s="5" t="s">
        <v>630</v>
      </c>
      <c r="C58" s="11">
        <v>68372221964</v>
      </c>
      <c r="D58" s="5" t="s">
        <v>631</v>
      </c>
      <c r="E58" s="8">
        <v>4.04</v>
      </c>
      <c r="F58" s="5" t="s">
        <v>10</v>
      </c>
      <c r="G58" s="2" t="s">
        <v>23</v>
      </c>
    </row>
    <row r="59" spans="1:9" x14ac:dyDescent="0.2">
      <c r="A59" s="11">
        <v>45</v>
      </c>
      <c r="B59" s="5" t="s">
        <v>732</v>
      </c>
      <c r="C59" s="11">
        <v>80972836106</v>
      </c>
      <c r="D59" s="5" t="s">
        <v>733</v>
      </c>
      <c r="E59" s="8">
        <f>57.8+104.2</f>
        <v>162</v>
      </c>
      <c r="F59" s="5" t="s">
        <v>10</v>
      </c>
      <c r="G59" s="2" t="s">
        <v>173</v>
      </c>
    </row>
    <row r="60" spans="1:9" x14ac:dyDescent="0.2">
      <c r="A60" s="11">
        <v>46</v>
      </c>
      <c r="B60" s="23" t="s">
        <v>131</v>
      </c>
      <c r="C60" s="24">
        <v>70133616033</v>
      </c>
      <c r="D60" s="23" t="s">
        <v>134</v>
      </c>
      <c r="E60" s="8">
        <v>3851.55</v>
      </c>
      <c r="F60" s="23" t="s">
        <v>10</v>
      </c>
      <c r="G60" s="2" t="s">
        <v>292</v>
      </c>
    </row>
    <row r="61" spans="1:9" x14ac:dyDescent="0.2">
      <c r="A61" s="11">
        <v>47</v>
      </c>
      <c r="B61" s="23" t="s">
        <v>132</v>
      </c>
      <c r="C61" s="24">
        <v>81793146560</v>
      </c>
      <c r="D61" s="23" t="s">
        <v>133</v>
      </c>
      <c r="E61" s="8">
        <v>1948.51</v>
      </c>
      <c r="F61" s="5" t="s">
        <v>10</v>
      </c>
      <c r="G61" s="2" t="s">
        <v>292</v>
      </c>
    </row>
    <row r="62" spans="1:9" x14ac:dyDescent="0.2">
      <c r="A62" s="11">
        <v>48</v>
      </c>
      <c r="B62" s="5" t="s">
        <v>144</v>
      </c>
      <c r="C62" s="11" t="s">
        <v>740</v>
      </c>
      <c r="D62" s="5" t="s">
        <v>740</v>
      </c>
      <c r="E62" s="8">
        <v>1726.67</v>
      </c>
      <c r="F62" s="5" t="s">
        <v>10</v>
      </c>
      <c r="G62" s="2" t="s">
        <v>1005</v>
      </c>
      <c r="I62" s="13"/>
    </row>
    <row r="63" spans="1:9" x14ac:dyDescent="0.2">
      <c r="A63" s="11">
        <v>49</v>
      </c>
      <c r="B63" s="5" t="s">
        <v>380</v>
      </c>
      <c r="C63" s="11">
        <v>52641439848</v>
      </c>
      <c r="D63" s="5" t="s">
        <v>381</v>
      </c>
      <c r="E63" s="8">
        <v>357.5</v>
      </c>
      <c r="F63" s="5" t="s">
        <v>10</v>
      </c>
      <c r="G63" s="2" t="s">
        <v>23</v>
      </c>
    </row>
    <row r="64" spans="1:9" x14ac:dyDescent="0.2">
      <c r="A64" s="11">
        <v>50</v>
      </c>
      <c r="B64" s="5" t="s">
        <v>313</v>
      </c>
      <c r="C64" s="11">
        <v>74867487620</v>
      </c>
      <c r="D64" s="5" t="s">
        <v>314</v>
      </c>
      <c r="E64" s="8">
        <v>13242.96</v>
      </c>
      <c r="F64" s="5" t="s">
        <v>10</v>
      </c>
      <c r="G64" s="2" t="s">
        <v>23</v>
      </c>
    </row>
    <row r="65" spans="1:9" x14ac:dyDescent="0.2">
      <c r="A65" s="11">
        <v>51</v>
      </c>
      <c r="B65" s="5" t="s">
        <v>138</v>
      </c>
      <c r="C65" s="11">
        <v>46163832762</v>
      </c>
      <c r="D65" s="5" t="s">
        <v>202</v>
      </c>
      <c r="E65" s="8">
        <v>259.73</v>
      </c>
      <c r="F65" s="5" t="s">
        <v>10</v>
      </c>
      <c r="G65" s="2" t="s">
        <v>112</v>
      </c>
    </row>
    <row r="66" spans="1:9" x14ac:dyDescent="0.2">
      <c r="A66" s="11">
        <v>52</v>
      </c>
      <c r="B66" s="5" t="s">
        <v>140</v>
      </c>
      <c r="C66" s="11">
        <v>41412434130</v>
      </c>
      <c r="D66" s="5" t="s">
        <v>197</v>
      </c>
      <c r="E66" s="8">
        <v>67.28</v>
      </c>
      <c r="F66" s="5" t="s">
        <v>10</v>
      </c>
      <c r="G66" s="2" t="s">
        <v>112</v>
      </c>
    </row>
    <row r="67" spans="1:9" x14ac:dyDescent="0.2">
      <c r="A67" s="11">
        <v>53</v>
      </c>
      <c r="B67" s="5" t="s">
        <v>855</v>
      </c>
      <c r="C67" s="11">
        <v>41317489366</v>
      </c>
      <c r="D67" s="5" t="s">
        <v>856</v>
      </c>
      <c r="E67" s="8">
        <v>4863.0600000000004</v>
      </c>
      <c r="F67" s="5" t="s">
        <v>10</v>
      </c>
      <c r="G67" s="2" t="s">
        <v>263</v>
      </c>
      <c r="I67" s="13"/>
    </row>
    <row r="68" spans="1:9" x14ac:dyDescent="0.2">
      <c r="A68" s="11">
        <v>54</v>
      </c>
      <c r="B68" s="5" t="s">
        <v>142</v>
      </c>
      <c r="C68" s="12" t="s">
        <v>203</v>
      </c>
      <c r="D68" s="5" t="s">
        <v>204</v>
      </c>
      <c r="E68" s="8">
        <v>173.86</v>
      </c>
      <c r="F68" s="5" t="s">
        <v>10</v>
      </c>
      <c r="G68" s="2" t="s">
        <v>112</v>
      </c>
    </row>
    <row r="69" spans="1:9" x14ac:dyDescent="0.2">
      <c r="A69" s="11">
        <v>55</v>
      </c>
      <c r="B69" s="5" t="s">
        <v>143</v>
      </c>
      <c r="C69" s="11">
        <v>85584865987</v>
      </c>
      <c r="D69" s="5" t="s">
        <v>205</v>
      </c>
      <c r="E69" s="8">
        <v>1190.32</v>
      </c>
      <c r="F69" s="5" t="s">
        <v>10</v>
      </c>
      <c r="G69" s="2" t="s">
        <v>112</v>
      </c>
    </row>
    <row r="70" spans="1:9" x14ac:dyDescent="0.2">
      <c r="A70" s="11">
        <v>56</v>
      </c>
      <c r="B70" s="5" t="s">
        <v>144</v>
      </c>
      <c r="C70" s="11" t="s">
        <v>740</v>
      </c>
      <c r="D70" s="5" t="s">
        <v>740</v>
      </c>
      <c r="E70" s="8">
        <v>1008</v>
      </c>
      <c r="F70" s="5" t="s">
        <v>10</v>
      </c>
      <c r="G70" s="2" t="s">
        <v>145</v>
      </c>
    </row>
    <row r="71" spans="1:9" x14ac:dyDescent="0.2">
      <c r="A71" s="11">
        <v>57</v>
      </c>
      <c r="B71" s="5" t="s">
        <v>349</v>
      </c>
      <c r="C71" s="11">
        <v>31022857153</v>
      </c>
      <c r="D71" s="5" t="s">
        <v>351</v>
      </c>
      <c r="E71" s="8">
        <v>10526.91</v>
      </c>
      <c r="F71" s="5" t="s">
        <v>10</v>
      </c>
      <c r="G71" s="2" t="s">
        <v>350</v>
      </c>
    </row>
    <row r="72" spans="1:9" x14ac:dyDescent="0.2">
      <c r="A72" s="11">
        <v>58</v>
      </c>
      <c r="B72" s="5" t="s">
        <v>868</v>
      </c>
      <c r="C72" s="11">
        <v>11374156664</v>
      </c>
      <c r="D72" s="5" t="s">
        <v>869</v>
      </c>
      <c r="E72" s="8">
        <v>232.05</v>
      </c>
      <c r="F72" s="5" t="s">
        <v>10</v>
      </c>
      <c r="G72" s="2" t="s">
        <v>23</v>
      </c>
    </row>
    <row r="73" spans="1:9" x14ac:dyDescent="0.2">
      <c r="A73" s="11">
        <v>59</v>
      </c>
      <c r="B73" s="5" t="s">
        <v>405</v>
      </c>
      <c r="C73" s="11">
        <v>38411868043</v>
      </c>
      <c r="D73" s="5" t="s">
        <v>406</v>
      </c>
      <c r="E73" s="8">
        <v>4600</v>
      </c>
      <c r="F73" s="5" t="s">
        <v>10</v>
      </c>
      <c r="G73" s="2" t="s">
        <v>23</v>
      </c>
    </row>
    <row r="74" spans="1:9" x14ac:dyDescent="0.2">
      <c r="A74" s="11">
        <v>60</v>
      </c>
      <c r="B74" s="5" t="s">
        <v>282</v>
      </c>
      <c r="C74" s="11">
        <v>55175013491</v>
      </c>
      <c r="D74" s="5" t="s">
        <v>283</v>
      </c>
      <c r="E74" s="8">
        <v>1769.38</v>
      </c>
      <c r="F74" s="5" t="s">
        <v>10</v>
      </c>
      <c r="G74" s="2" t="s">
        <v>23</v>
      </c>
    </row>
    <row r="75" spans="1:9" x14ac:dyDescent="0.2">
      <c r="A75" s="11">
        <v>61</v>
      </c>
      <c r="B75" s="5" t="s">
        <v>698</v>
      </c>
      <c r="C75" s="11">
        <v>41921055528</v>
      </c>
      <c r="D75" s="5" t="s">
        <v>699</v>
      </c>
      <c r="E75" s="8">
        <v>1656</v>
      </c>
      <c r="F75" s="5" t="s">
        <v>10</v>
      </c>
      <c r="G75" s="2" t="s">
        <v>147</v>
      </c>
    </row>
    <row r="76" spans="1:9" x14ac:dyDescent="0.2">
      <c r="A76" s="11">
        <v>62</v>
      </c>
      <c r="B76" s="5" t="s">
        <v>127</v>
      </c>
      <c r="C76" s="11">
        <v>28921383001</v>
      </c>
      <c r="D76" s="5" t="s">
        <v>129</v>
      </c>
      <c r="E76" s="8">
        <v>1577.82</v>
      </c>
      <c r="F76" s="5" t="s">
        <v>10</v>
      </c>
      <c r="G76" s="2" t="s">
        <v>128</v>
      </c>
    </row>
    <row r="77" spans="1:9" x14ac:dyDescent="0.2">
      <c r="A77" s="11">
        <v>63</v>
      </c>
      <c r="B77" s="5" t="s">
        <v>857</v>
      </c>
      <c r="C77" s="11">
        <v>29035933600</v>
      </c>
      <c r="D77" s="5" t="s">
        <v>447</v>
      </c>
      <c r="E77" s="8">
        <v>12253.33</v>
      </c>
      <c r="F77" s="5" t="s">
        <v>10</v>
      </c>
      <c r="G77" s="2" t="s">
        <v>263</v>
      </c>
    </row>
    <row r="78" spans="1:9" x14ac:dyDescent="0.2">
      <c r="A78" s="11">
        <v>64</v>
      </c>
      <c r="B78" s="5" t="s">
        <v>870</v>
      </c>
      <c r="C78" s="12">
        <v>34683682958</v>
      </c>
      <c r="D78" s="5" t="s">
        <v>545</v>
      </c>
      <c r="E78" s="8">
        <v>99.56</v>
      </c>
      <c r="F78" s="5" t="s">
        <v>10</v>
      </c>
      <c r="G78" s="2" t="s">
        <v>330</v>
      </c>
    </row>
    <row r="79" spans="1:9" x14ac:dyDescent="0.2">
      <c r="A79" s="11">
        <v>65</v>
      </c>
      <c r="B79" s="5" t="s">
        <v>825</v>
      </c>
      <c r="C79" s="11" t="s">
        <v>826</v>
      </c>
      <c r="D79" s="5" t="s">
        <v>827</v>
      </c>
      <c r="E79" s="8">
        <v>5760</v>
      </c>
      <c r="F79" s="5" t="s">
        <v>10</v>
      </c>
      <c r="G79" s="2" t="s">
        <v>23</v>
      </c>
    </row>
    <row r="80" spans="1:9" x14ac:dyDescent="0.2">
      <c r="A80" s="11">
        <v>66</v>
      </c>
      <c r="B80" s="5" t="s">
        <v>157</v>
      </c>
      <c r="C80" s="11" t="s">
        <v>216</v>
      </c>
      <c r="D80" s="5" t="s">
        <v>158</v>
      </c>
      <c r="E80" s="8">
        <v>1522.4</v>
      </c>
      <c r="F80" s="5" t="s">
        <v>10</v>
      </c>
      <c r="G80" s="2" t="s">
        <v>23</v>
      </c>
    </row>
    <row r="81" spans="1:9" x14ac:dyDescent="0.2">
      <c r="A81" s="11">
        <v>67</v>
      </c>
      <c r="B81" s="5" t="s">
        <v>159</v>
      </c>
      <c r="C81" s="11">
        <v>64862538713</v>
      </c>
      <c r="D81" s="5" t="s">
        <v>217</v>
      </c>
      <c r="E81" s="8">
        <v>52.5</v>
      </c>
      <c r="F81" s="5" t="s">
        <v>10</v>
      </c>
      <c r="G81" s="2" t="s">
        <v>23</v>
      </c>
    </row>
    <row r="82" spans="1:9" x14ac:dyDescent="0.2">
      <c r="A82" s="11">
        <v>68</v>
      </c>
      <c r="B82" s="5" t="s">
        <v>997</v>
      </c>
      <c r="C82" s="11">
        <v>37112527890</v>
      </c>
      <c r="D82" s="5" t="s">
        <v>996</v>
      </c>
      <c r="E82" s="8">
        <v>20.74</v>
      </c>
      <c r="F82" s="5" t="s">
        <v>10</v>
      </c>
      <c r="G82" s="2" t="s">
        <v>23</v>
      </c>
    </row>
    <row r="83" spans="1:9" x14ac:dyDescent="0.2">
      <c r="A83" s="11">
        <v>69</v>
      </c>
      <c r="B83" s="5" t="s">
        <v>162</v>
      </c>
      <c r="C83" s="11">
        <v>58353015102</v>
      </c>
      <c r="D83" s="5" t="s">
        <v>219</v>
      </c>
      <c r="E83" s="8">
        <v>71.63</v>
      </c>
      <c r="F83" s="5" t="s">
        <v>10</v>
      </c>
      <c r="G83" s="2" t="s">
        <v>23</v>
      </c>
    </row>
    <row r="84" spans="1:9" x14ac:dyDescent="0.2">
      <c r="A84" s="11">
        <v>70</v>
      </c>
      <c r="B84" s="5" t="s">
        <v>998</v>
      </c>
      <c r="C84" s="11">
        <v>48092682308</v>
      </c>
      <c r="D84" s="5" t="s">
        <v>999</v>
      </c>
      <c r="E84" s="8">
        <v>7.2</v>
      </c>
      <c r="F84" s="5" t="s">
        <v>10</v>
      </c>
      <c r="G84" s="2" t="s">
        <v>23</v>
      </c>
    </row>
    <row r="85" spans="1:9" x14ac:dyDescent="0.2">
      <c r="A85" s="11">
        <v>71</v>
      </c>
      <c r="B85" s="5" t="s">
        <v>1000</v>
      </c>
      <c r="C85" s="11">
        <v>32614011568</v>
      </c>
      <c r="D85" s="5" t="s">
        <v>1001</v>
      </c>
      <c r="E85" s="8">
        <v>29.99</v>
      </c>
      <c r="F85" s="5" t="s">
        <v>10</v>
      </c>
      <c r="G85" s="2" t="s">
        <v>23</v>
      </c>
    </row>
    <row r="86" spans="1:9" x14ac:dyDescent="0.2">
      <c r="A86" s="11">
        <v>72</v>
      </c>
      <c r="B86" s="5" t="s">
        <v>165</v>
      </c>
      <c r="C86" s="11">
        <v>62534176727</v>
      </c>
      <c r="D86" s="5" t="s">
        <v>222</v>
      </c>
      <c r="E86" s="8">
        <v>2134.96</v>
      </c>
      <c r="F86" s="5" t="s">
        <v>10</v>
      </c>
      <c r="G86" s="2" t="s">
        <v>23</v>
      </c>
    </row>
    <row r="87" spans="1:9" x14ac:dyDescent="0.2">
      <c r="A87" s="11">
        <v>73</v>
      </c>
      <c r="B87" s="5" t="s">
        <v>658</v>
      </c>
      <c r="C87" s="11">
        <v>24846301629</v>
      </c>
      <c r="D87" s="5" t="s">
        <v>659</v>
      </c>
      <c r="E87" s="15">
        <v>33.229999999999997</v>
      </c>
      <c r="F87" s="19" t="s">
        <v>10</v>
      </c>
      <c r="G87" s="28" t="s">
        <v>23</v>
      </c>
    </row>
    <row r="88" spans="1:9" ht="12.75" thickBot="1" x14ac:dyDescent="0.25">
      <c r="A88" s="36">
        <v>74</v>
      </c>
      <c r="B88" s="23" t="s">
        <v>168</v>
      </c>
      <c r="C88" s="24">
        <v>87682591133</v>
      </c>
      <c r="D88" s="23" t="s">
        <v>223</v>
      </c>
      <c r="E88" s="15">
        <v>60922.61</v>
      </c>
      <c r="F88" s="23" t="s">
        <v>10</v>
      </c>
      <c r="G88" s="28" t="s">
        <v>23</v>
      </c>
      <c r="I88" s="13"/>
    </row>
    <row r="89" spans="1:9" x14ac:dyDescent="0.2">
      <c r="A89" s="84">
        <v>75</v>
      </c>
      <c r="B89" s="82" t="s">
        <v>169</v>
      </c>
      <c r="C89" s="84">
        <v>19849957757</v>
      </c>
      <c r="D89" s="82" t="s">
        <v>225</v>
      </c>
      <c r="E89" s="16">
        <v>48385.760000000002</v>
      </c>
      <c r="F89" s="82" t="s">
        <v>10</v>
      </c>
      <c r="G89" s="31" t="s">
        <v>23</v>
      </c>
    </row>
    <row r="90" spans="1:9" ht="12.75" thickBot="1" x14ac:dyDescent="0.25">
      <c r="A90" s="85"/>
      <c r="B90" s="83"/>
      <c r="C90" s="85"/>
      <c r="D90" s="83"/>
      <c r="E90" s="18">
        <v>1181.23</v>
      </c>
      <c r="F90" s="83"/>
      <c r="G90" s="48" t="s">
        <v>130</v>
      </c>
    </row>
    <row r="91" spans="1:9" x14ac:dyDescent="0.2">
      <c r="A91" s="37">
        <v>76</v>
      </c>
      <c r="B91" s="33" t="s">
        <v>170</v>
      </c>
      <c r="C91" s="37">
        <v>52233171260</v>
      </c>
      <c r="D91" s="33" t="s">
        <v>224</v>
      </c>
      <c r="E91" s="17">
        <v>24404.28</v>
      </c>
      <c r="F91" s="33" t="s">
        <v>10</v>
      </c>
      <c r="G91" s="34" t="s">
        <v>23</v>
      </c>
    </row>
    <row r="92" spans="1:9" x14ac:dyDescent="0.2">
      <c r="A92" s="11">
        <v>77</v>
      </c>
      <c r="B92" s="5" t="s">
        <v>837</v>
      </c>
      <c r="C92" s="11">
        <v>84515892678</v>
      </c>
      <c r="D92" s="5" t="s">
        <v>838</v>
      </c>
      <c r="E92" s="8">
        <v>1250</v>
      </c>
      <c r="F92" s="27" t="s">
        <v>10</v>
      </c>
      <c r="G92" s="2" t="s">
        <v>23</v>
      </c>
    </row>
    <row r="93" spans="1:9" x14ac:dyDescent="0.2">
      <c r="A93" s="11">
        <v>78</v>
      </c>
      <c r="B93" s="5" t="s">
        <v>174</v>
      </c>
      <c r="C93" s="11">
        <v>79517545745</v>
      </c>
      <c r="D93" s="5" t="s">
        <v>227</v>
      </c>
      <c r="E93" s="8">
        <v>57.9</v>
      </c>
      <c r="F93" s="5" t="s">
        <v>10</v>
      </c>
      <c r="G93" s="2" t="s">
        <v>176</v>
      </c>
    </row>
    <row r="94" spans="1:9" x14ac:dyDescent="0.2">
      <c r="A94" s="11">
        <v>79</v>
      </c>
      <c r="B94" s="5" t="s">
        <v>1011</v>
      </c>
      <c r="C94" s="11">
        <v>57270798205</v>
      </c>
      <c r="D94" s="5" t="s">
        <v>1012</v>
      </c>
      <c r="E94" s="8">
        <v>13370.5</v>
      </c>
      <c r="F94" s="5" t="s">
        <v>10</v>
      </c>
      <c r="G94" s="2" t="s">
        <v>12</v>
      </c>
    </row>
    <row r="95" spans="1:9" x14ac:dyDescent="0.2">
      <c r="A95" s="11">
        <v>80</v>
      </c>
      <c r="B95" s="5" t="s">
        <v>17</v>
      </c>
      <c r="C95" s="11" t="s">
        <v>17</v>
      </c>
      <c r="D95" s="5" t="s">
        <v>17</v>
      </c>
      <c r="E95" s="8">
        <v>1400</v>
      </c>
      <c r="F95" s="5" t="s">
        <v>10</v>
      </c>
      <c r="G95" s="2" t="s">
        <v>177</v>
      </c>
    </row>
    <row r="96" spans="1:9" x14ac:dyDescent="0.2">
      <c r="A96" s="36">
        <v>81</v>
      </c>
      <c r="B96" s="19" t="s">
        <v>17</v>
      </c>
      <c r="C96" s="36" t="s">
        <v>17</v>
      </c>
      <c r="D96" s="19" t="s">
        <v>17</v>
      </c>
      <c r="E96" s="15">
        <f>104+2302.99</f>
        <v>2406.9899999999998</v>
      </c>
      <c r="F96" s="19" t="s">
        <v>10</v>
      </c>
      <c r="G96" s="28" t="s">
        <v>178</v>
      </c>
    </row>
    <row r="97" spans="1:8" x14ac:dyDescent="0.2">
      <c r="A97" s="45">
        <v>82</v>
      </c>
      <c r="B97" s="44" t="s">
        <v>1002</v>
      </c>
      <c r="C97" s="46" t="s">
        <v>1003</v>
      </c>
      <c r="D97" s="44" t="s">
        <v>1004</v>
      </c>
      <c r="E97" s="8">
        <v>50.35</v>
      </c>
      <c r="F97" s="5" t="s">
        <v>10</v>
      </c>
      <c r="G97" s="2" t="s">
        <v>173</v>
      </c>
    </row>
    <row r="98" spans="1:8" x14ac:dyDescent="0.2">
      <c r="A98" s="39">
        <v>83</v>
      </c>
      <c r="B98" s="19" t="s">
        <v>590</v>
      </c>
      <c r="C98" s="36">
        <v>38867318377</v>
      </c>
      <c r="D98" s="19" t="s">
        <v>591</v>
      </c>
      <c r="E98" s="20">
        <v>2073.86</v>
      </c>
      <c r="F98" s="40" t="s">
        <v>10</v>
      </c>
      <c r="G98" s="41" t="s">
        <v>23</v>
      </c>
    </row>
    <row r="99" spans="1:8" x14ac:dyDescent="0.2">
      <c r="A99" s="45">
        <v>84</v>
      </c>
      <c r="B99" s="44" t="s">
        <v>181</v>
      </c>
      <c r="C99" s="45">
        <v>71642207963</v>
      </c>
      <c r="D99" s="44" t="s">
        <v>232</v>
      </c>
      <c r="E99" s="8">
        <f>462.1+20.48+306.63</f>
        <v>789.21</v>
      </c>
      <c r="F99" s="5" t="s">
        <v>10</v>
      </c>
      <c r="G99" s="2" t="s">
        <v>23</v>
      </c>
    </row>
    <row r="100" spans="1:8" x14ac:dyDescent="0.2">
      <c r="A100" s="11">
        <v>85</v>
      </c>
      <c r="B100" s="5" t="s">
        <v>339</v>
      </c>
      <c r="C100" s="11">
        <v>22740118957</v>
      </c>
      <c r="D100" s="5" t="s">
        <v>340</v>
      </c>
      <c r="E100" s="8">
        <v>884</v>
      </c>
      <c r="F100" s="5" t="s">
        <v>10</v>
      </c>
      <c r="G100" s="2" t="s">
        <v>23</v>
      </c>
    </row>
    <row r="101" spans="1:8" x14ac:dyDescent="0.2">
      <c r="A101" s="11">
        <v>86</v>
      </c>
      <c r="B101" s="5" t="s">
        <v>676</v>
      </c>
      <c r="C101" s="11" t="s">
        <v>677</v>
      </c>
      <c r="D101" s="5" t="s">
        <v>678</v>
      </c>
      <c r="E101" s="8">
        <v>792.31</v>
      </c>
      <c r="F101" s="5" t="s">
        <v>10</v>
      </c>
      <c r="G101" s="2" t="s">
        <v>23</v>
      </c>
    </row>
    <row r="102" spans="1:8" x14ac:dyDescent="0.2">
      <c r="A102" s="11">
        <v>87</v>
      </c>
      <c r="B102" s="5" t="s">
        <v>424</v>
      </c>
      <c r="C102" s="11">
        <v>40480660548</v>
      </c>
      <c r="D102" s="5" t="s">
        <v>425</v>
      </c>
      <c r="E102" s="8">
        <v>16175</v>
      </c>
      <c r="F102" s="5" t="s">
        <v>10</v>
      </c>
      <c r="G102" s="2" t="s">
        <v>23</v>
      </c>
    </row>
    <row r="103" spans="1:8" x14ac:dyDescent="0.2">
      <c r="A103" s="11">
        <v>88</v>
      </c>
      <c r="B103" s="5" t="s">
        <v>185</v>
      </c>
      <c r="C103" s="11">
        <v>52848403362</v>
      </c>
      <c r="D103" s="5" t="s">
        <v>237</v>
      </c>
      <c r="E103" s="8">
        <v>1899</v>
      </c>
      <c r="F103" s="5" t="s">
        <v>10</v>
      </c>
      <c r="G103" s="2" t="s">
        <v>186</v>
      </c>
    </row>
    <row r="104" spans="1:8" x14ac:dyDescent="0.2">
      <c r="A104" s="11">
        <v>89</v>
      </c>
      <c r="B104" s="5" t="s">
        <v>884</v>
      </c>
      <c r="C104" s="11">
        <v>33956120458</v>
      </c>
      <c r="D104" s="5" t="s">
        <v>885</v>
      </c>
      <c r="E104" s="8">
        <v>9.2899999999999991</v>
      </c>
      <c r="F104" s="5" t="s">
        <v>10</v>
      </c>
      <c r="G104" s="2" t="s">
        <v>23</v>
      </c>
    </row>
    <row r="105" spans="1:8" x14ac:dyDescent="0.2">
      <c r="A105" s="11">
        <v>90</v>
      </c>
      <c r="B105" s="5" t="s">
        <v>1009</v>
      </c>
      <c r="C105" s="11">
        <v>27712717103</v>
      </c>
      <c r="D105" s="5" t="s">
        <v>1010</v>
      </c>
      <c r="E105" s="15">
        <v>38775</v>
      </c>
      <c r="F105" s="19" t="s">
        <v>10</v>
      </c>
      <c r="G105" s="28" t="s">
        <v>147</v>
      </c>
    </row>
    <row r="106" spans="1:8" x14ac:dyDescent="0.2">
      <c r="A106" s="11">
        <v>91</v>
      </c>
      <c r="B106" s="23" t="s">
        <v>191</v>
      </c>
      <c r="C106" s="24">
        <v>34421776805</v>
      </c>
      <c r="D106" s="23" t="s">
        <v>240</v>
      </c>
      <c r="E106" s="8">
        <v>2603.67</v>
      </c>
      <c r="F106" s="44" t="s">
        <v>10</v>
      </c>
      <c r="G106" s="2" t="s">
        <v>192</v>
      </c>
    </row>
    <row r="107" spans="1:8" x14ac:dyDescent="0.2">
      <c r="A107" s="11">
        <v>92</v>
      </c>
      <c r="B107" s="5" t="s">
        <v>17</v>
      </c>
      <c r="C107" s="11" t="s">
        <v>17</v>
      </c>
      <c r="D107" s="5" t="s">
        <v>17</v>
      </c>
      <c r="E107" s="17">
        <v>47.2</v>
      </c>
      <c r="F107" s="33" t="s">
        <v>10</v>
      </c>
      <c r="G107" s="34" t="s">
        <v>635</v>
      </c>
    </row>
    <row r="108" spans="1:8" x14ac:dyDescent="0.2">
      <c r="A108" s="11">
        <v>93</v>
      </c>
      <c r="B108" s="5" t="s">
        <v>17</v>
      </c>
      <c r="C108" s="11" t="s">
        <v>17</v>
      </c>
      <c r="D108" s="5" t="s">
        <v>17</v>
      </c>
      <c r="E108" s="8">
        <v>413.44</v>
      </c>
      <c r="F108" s="5" t="s">
        <v>10</v>
      </c>
      <c r="G108" s="2" t="s">
        <v>194</v>
      </c>
    </row>
    <row r="109" spans="1:8" x14ac:dyDescent="0.2">
      <c r="A109" s="11">
        <v>94</v>
      </c>
      <c r="B109" s="5" t="s">
        <v>1006</v>
      </c>
      <c r="C109" s="11" t="s">
        <v>1007</v>
      </c>
      <c r="D109" s="5" t="s">
        <v>1008</v>
      </c>
      <c r="E109" s="8">
        <v>12430.22</v>
      </c>
      <c r="F109" s="5" t="s">
        <v>10</v>
      </c>
      <c r="G109" s="2" t="s">
        <v>55</v>
      </c>
    </row>
    <row r="110" spans="1:8" x14ac:dyDescent="0.2">
      <c r="A110" s="11">
        <v>95</v>
      </c>
      <c r="B110" s="5" t="s">
        <v>399</v>
      </c>
      <c r="C110" s="11">
        <v>70140364776</v>
      </c>
      <c r="D110" s="5" t="s">
        <v>400</v>
      </c>
      <c r="E110" s="8">
        <v>2877.69</v>
      </c>
      <c r="F110" s="5" t="s">
        <v>10</v>
      </c>
      <c r="G110" s="2" t="s">
        <v>263</v>
      </c>
    </row>
    <row r="111" spans="1:8" x14ac:dyDescent="0.2">
      <c r="A111" s="11">
        <v>96</v>
      </c>
      <c r="B111" s="5" t="s">
        <v>242</v>
      </c>
      <c r="C111" s="11">
        <v>49800593791</v>
      </c>
      <c r="D111" s="5" t="s">
        <v>244</v>
      </c>
      <c r="E111" s="8">
        <v>5297.29</v>
      </c>
      <c r="F111" s="5" t="s">
        <v>10</v>
      </c>
      <c r="G111" s="2" t="s">
        <v>243</v>
      </c>
    </row>
    <row r="112" spans="1:8" x14ac:dyDescent="0.2">
      <c r="A112" s="36">
        <v>97</v>
      </c>
      <c r="B112" s="19" t="s">
        <v>249</v>
      </c>
      <c r="C112" s="36">
        <v>26004523816</v>
      </c>
      <c r="D112" s="19" t="s">
        <v>251</v>
      </c>
      <c r="E112" s="15">
        <v>2623.6</v>
      </c>
      <c r="F112" s="19" t="s">
        <v>10</v>
      </c>
      <c r="G112" s="28" t="s">
        <v>23</v>
      </c>
      <c r="H112" s="13"/>
    </row>
    <row r="113" spans="1:9" x14ac:dyDescent="0.2">
      <c r="A113" s="45">
        <v>98</v>
      </c>
      <c r="B113" s="44" t="s">
        <v>248</v>
      </c>
      <c r="C113" s="45">
        <v>47428597158</v>
      </c>
      <c r="D113" s="44" t="s">
        <v>250</v>
      </c>
      <c r="E113" s="8">
        <v>5881.01</v>
      </c>
      <c r="F113" s="44" t="s">
        <v>10</v>
      </c>
      <c r="G113" s="2" t="s">
        <v>23</v>
      </c>
      <c r="I113" s="13"/>
    </row>
    <row r="114" spans="1:9" x14ac:dyDescent="0.2">
      <c r="A114" s="11">
        <v>99</v>
      </c>
      <c r="B114" s="5" t="s">
        <v>443</v>
      </c>
      <c r="C114" s="11" t="s">
        <v>17</v>
      </c>
      <c r="D114" s="5" t="s">
        <v>17</v>
      </c>
      <c r="E114" s="8">
        <v>200</v>
      </c>
      <c r="F114" s="5" t="s">
        <v>10</v>
      </c>
      <c r="G114" s="2" t="s">
        <v>179</v>
      </c>
    </row>
    <row r="115" spans="1:9" x14ac:dyDescent="0.2">
      <c r="A115" s="11">
        <v>100</v>
      </c>
      <c r="B115" s="5" t="s">
        <v>252</v>
      </c>
      <c r="C115" s="12" t="s">
        <v>254</v>
      </c>
      <c r="D115" s="5" t="s">
        <v>253</v>
      </c>
      <c r="E115" s="8">
        <f>316.75+47.18</f>
        <v>363.93</v>
      </c>
      <c r="F115" s="5" t="s">
        <v>10</v>
      </c>
      <c r="G115" s="2" t="s">
        <v>112</v>
      </c>
    </row>
    <row r="116" spans="1:9" x14ac:dyDescent="0.2">
      <c r="A116" s="11">
        <v>101</v>
      </c>
      <c r="B116" s="5" t="s">
        <v>779</v>
      </c>
      <c r="C116" s="12" t="s">
        <v>1013</v>
      </c>
      <c r="D116" s="5" t="s">
        <v>1014</v>
      </c>
      <c r="E116" s="8">
        <v>6903</v>
      </c>
      <c r="F116" s="5" t="s">
        <v>10</v>
      </c>
      <c r="G116" s="2" t="s">
        <v>23</v>
      </c>
    </row>
    <row r="117" spans="1:9" x14ac:dyDescent="0.2">
      <c r="A117" s="11">
        <v>102</v>
      </c>
      <c r="B117" s="5" t="s">
        <v>257</v>
      </c>
      <c r="C117" s="11">
        <v>25392808959</v>
      </c>
      <c r="D117" s="5" t="s">
        <v>258</v>
      </c>
      <c r="E117" s="8">
        <v>37462.120000000003</v>
      </c>
      <c r="F117" s="5" t="s">
        <v>10</v>
      </c>
      <c r="G117" s="2" t="s">
        <v>23</v>
      </c>
      <c r="I117" s="13"/>
    </row>
    <row r="118" spans="1:9" x14ac:dyDescent="0.2">
      <c r="A118" s="11">
        <v>103</v>
      </c>
      <c r="B118" s="5" t="s">
        <v>1015</v>
      </c>
      <c r="C118" s="11">
        <v>3109396077</v>
      </c>
      <c r="D118" s="5" t="s">
        <v>1016</v>
      </c>
      <c r="E118" s="8">
        <v>71.23</v>
      </c>
      <c r="F118" s="5" t="s">
        <v>10</v>
      </c>
      <c r="G118" s="2" t="s">
        <v>287</v>
      </c>
    </row>
    <row r="119" spans="1:9" x14ac:dyDescent="0.2">
      <c r="A119" s="11">
        <v>104</v>
      </c>
      <c r="B119" s="5" t="s">
        <v>1017</v>
      </c>
      <c r="C119" s="11">
        <v>16423775522</v>
      </c>
      <c r="D119" s="5" t="s">
        <v>1018</v>
      </c>
      <c r="E119" s="8">
        <v>328.49</v>
      </c>
      <c r="F119" s="5" t="s">
        <v>10</v>
      </c>
      <c r="G119" s="2" t="s">
        <v>952</v>
      </c>
    </row>
    <row r="120" spans="1:9" x14ac:dyDescent="0.2">
      <c r="A120" s="11">
        <v>105</v>
      </c>
      <c r="B120" s="5" t="s">
        <v>137</v>
      </c>
      <c r="C120" s="12" t="s">
        <v>200</v>
      </c>
      <c r="D120" s="5" t="s">
        <v>201</v>
      </c>
      <c r="E120" s="8">
        <v>538.04</v>
      </c>
      <c r="F120" s="5" t="s">
        <v>10</v>
      </c>
      <c r="G120" s="2" t="s">
        <v>112</v>
      </c>
    </row>
    <row r="121" spans="1:9" x14ac:dyDescent="0.2">
      <c r="A121" s="11">
        <v>106</v>
      </c>
      <c r="B121" s="5" t="s">
        <v>1019</v>
      </c>
      <c r="C121" s="11">
        <v>32829784843</v>
      </c>
      <c r="D121" s="5" t="s">
        <v>1020</v>
      </c>
      <c r="E121" s="8">
        <v>261.88</v>
      </c>
      <c r="F121" s="5" t="s">
        <v>10</v>
      </c>
      <c r="G121" s="2" t="s">
        <v>23</v>
      </c>
    </row>
    <row r="122" spans="1:9" x14ac:dyDescent="0.2">
      <c r="A122" s="11">
        <v>107</v>
      </c>
      <c r="B122" s="5" t="s">
        <v>896</v>
      </c>
      <c r="C122" s="11">
        <v>28440665923</v>
      </c>
      <c r="D122" s="5" t="s">
        <v>897</v>
      </c>
      <c r="E122" s="8">
        <v>99.28</v>
      </c>
      <c r="F122" s="5" t="s">
        <v>10</v>
      </c>
      <c r="G122" s="2" t="s">
        <v>330</v>
      </c>
      <c r="H122" s="13"/>
    </row>
    <row r="123" spans="1:9" x14ac:dyDescent="0.2">
      <c r="A123" s="11">
        <v>108</v>
      </c>
      <c r="B123" s="5" t="s">
        <v>486</v>
      </c>
      <c r="C123" s="11" t="s">
        <v>487</v>
      </c>
      <c r="D123" s="5" t="s">
        <v>488</v>
      </c>
      <c r="E123" s="8">
        <v>4646</v>
      </c>
      <c r="F123" s="5" t="s">
        <v>10</v>
      </c>
      <c r="G123" s="2" t="s">
        <v>23</v>
      </c>
    </row>
    <row r="124" spans="1:9" x14ac:dyDescent="0.2">
      <c r="A124" s="11">
        <v>109</v>
      </c>
      <c r="B124" s="5" t="s">
        <v>265</v>
      </c>
      <c r="C124" s="11">
        <v>63988426425</v>
      </c>
      <c r="D124" s="5" t="s">
        <v>266</v>
      </c>
      <c r="E124" s="8">
        <v>77634.16</v>
      </c>
      <c r="F124" s="5" t="s">
        <v>10</v>
      </c>
      <c r="G124" s="2" t="s">
        <v>23</v>
      </c>
    </row>
    <row r="125" spans="1:9" x14ac:dyDescent="0.2">
      <c r="A125" s="11">
        <v>110</v>
      </c>
      <c r="B125" s="5" t="s">
        <v>136</v>
      </c>
      <c r="C125" s="11">
        <v>70467048139</v>
      </c>
      <c r="D125" s="5" t="s">
        <v>199</v>
      </c>
      <c r="E125" s="8">
        <v>62.27</v>
      </c>
      <c r="F125" s="5" t="s">
        <v>10</v>
      </c>
      <c r="G125" s="2" t="s">
        <v>112</v>
      </c>
    </row>
    <row r="126" spans="1:9" x14ac:dyDescent="0.2">
      <c r="A126" s="11">
        <v>111</v>
      </c>
      <c r="B126" s="5" t="s">
        <v>102</v>
      </c>
      <c r="C126" s="11">
        <v>981494061</v>
      </c>
      <c r="D126" s="5" t="s">
        <v>103</v>
      </c>
      <c r="E126" s="8">
        <v>836.34</v>
      </c>
      <c r="F126" s="5" t="s">
        <v>10</v>
      </c>
      <c r="G126" s="2" t="s">
        <v>62</v>
      </c>
    </row>
    <row r="127" spans="1:9" x14ac:dyDescent="0.2">
      <c r="A127" s="11">
        <v>112</v>
      </c>
      <c r="B127" s="5" t="s">
        <v>409</v>
      </c>
      <c r="C127" s="11">
        <v>17145318195</v>
      </c>
      <c r="D127" s="5" t="s">
        <v>410</v>
      </c>
      <c r="E127" s="8">
        <v>94.81</v>
      </c>
      <c r="F127" s="5" t="s">
        <v>10</v>
      </c>
      <c r="G127" s="2" t="s">
        <v>23</v>
      </c>
    </row>
    <row r="128" spans="1:9" x14ac:dyDescent="0.2">
      <c r="A128" s="11">
        <v>113</v>
      </c>
      <c r="B128" s="5" t="s">
        <v>1021</v>
      </c>
      <c r="C128" s="11">
        <v>30482743691</v>
      </c>
      <c r="D128" s="5" t="s">
        <v>1022</v>
      </c>
      <c r="E128" s="8">
        <v>26.18</v>
      </c>
      <c r="F128" s="5" t="s">
        <v>10</v>
      </c>
      <c r="G128" s="2" t="s">
        <v>23</v>
      </c>
    </row>
    <row r="129" spans="1:7" x14ac:dyDescent="0.2">
      <c r="A129" s="11">
        <v>114</v>
      </c>
      <c r="B129" s="5" t="s">
        <v>1023</v>
      </c>
      <c r="C129" s="11">
        <v>61713540254</v>
      </c>
      <c r="D129" s="5" t="s">
        <v>1024</v>
      </c>
      <c r="E129" s="8">
        <v>1548.7</v>
      </c>
      <c r="F129" s="5" t="s">
        <v>10</v>
      </c>
      <c r="G129" s="2" t="s">
        <v>23</v>
      </c>
    </row>
    <row r="130" spans="1:7" x14ac:dyDescent="0.2">
      <c r="A130" s="11">
        <v>115</v>
      </c>
      <c r="B130" s="5" t="s">
        <v>184</v>
      </c>
      <c r="C130" s="11">
        <v>80051835685</v>
      </c>
      <c r="D130" s="5" t="s">
        <v>236</v>
      </c>
      <c r="E130" s="8">
        <v>5732.65</v>
      </c>
      <c r="F130" s="5" t="s">
        <v>10</v>
      </c>
      <c r="G130" s="2" t="s">
        <v>23</v>
      </c>
    </row>
    <row r="131" spans="1:7" x14ac:dyDescent="0.2">
      <c r="A131" s="11">
        <v>116</v>
      </c>
      <c r="B131" s="5" t="s">
        <v>393</v>
      </c>
      <c r="C131" s="11">
        <v>90439696130</v>
      </c>
      <c r="D131" s="5" t="s">
        <v>394</v>
      </c>
      <c r="E131" s="8">
        <v>84.8</v>
      </c>
      <c r="F131" s="5" t="s">
        <v>10</v>
      </c>
      <c r="G131" s="2" t="s">
        <v>23</v>
      </c>
    </row>
    <row r="132" spans="1:7" x14ac:dyDescent="0.2">
      <c r="A132" s="11">
        <v>117</v>
      </c>
      <c r="B132" s="5" t="s">
        <v>1025</v>
      </c>
      <c r="C132" s="11" t="s">
        <v>1026</v>
      </c>
      <c r="D132" s="5" t="s">
        <v>1027</v>
      </c>
      <c r="E132" s="8">
        <v>2840.88</v>
      </c>
      <c r="F132" s="5" t="s">
        <v>10</v>
      </c>
      <c r="G132" s="2" t="s">
        <v>23</v>
      </c>
    </row>
    <row r="133" spans="1:7" x14ac:dyDescent="0.2">
      <c r="A133" s="11">
        <v>118</v>
      </c>
      <c r="B133" s="5" t="s">
        <v>1028</v>
      </c>
      <c r="C133" s="11" t="s">
        <v>1029</v>
      </c>
      <c r="D133" s="5" t="s">
        <v>1030</v>
      </c>
      <c r="E133" s="8">
        <v>3880</v>
      </c>
      <c r="F133" s="5" t="s">
        <v>10</v>
      </c>
      <c r="G133" s="2" t="s">
        <v>23</v>
      </c>
    </row>
    <row r="134" spans="1:7" x14ac:dyDescent="0.2">
      <c r="A134" s="11">
        <v>119</v>
      </c>
      <c r="B134" s="5" t="s">
        <v>276</v>
      </c>
      <c r="C134" s="11">
        <v>64546066176</v>
      </c>
      <c r="D134" s="5" t="s">
        <v>277</v>
      </c>
      <c r="E134" s="8">
        <v>1346.71</v>
      </c>
      <c r="F134" s="5" t="s">
        <v>10</v>
      </c>
      <c r="G134" s="2" t="s">
        <v>23</v>
      </c>
    </row>
    <row r="135" spans="1:7" ht="12.75" thickBot="1" x14ac:dyDescent="0.25">
      <c r="A135" s="11">
        <v>120</v>
      </c>
      <c r="B135" s="19" t="s">
        <v>819</v>
      </c>
      <c r="C135" s="36">
        <v>30568370357</v>
      </c>
      <c r="D135" s="19" t="s">
        <v>820</v>
      </c>
      <c r="E135" s="15">
        <v>1193.75</v>
      </c>
      <c r="F135" s="19" t="s">
        <v>10</v>
      </c>
      <c r="G135" s="28" t="s">
        <v>287</v>
      </c>
    </row>
    <row r="136" spans="1:7" x14ac:dyDescent="0.2">
      <c r="A136" s="84">
        <v>121</v>
      </c>
      <c r="B136" s="82" t="s">
        <v>293</v>
      </c>
      <c r="C136" s="84">
        <v>65952859647</v>
      </c>
      <c r="D136" s="82" t="s">
        <v>295</v>
      </c>
      <c r="E136" s="16">
        <v>2813.75</v>
      </c>
      <c r="F136" s="82" t="s">
        <v>10</v>
      </c>
      <c r="G136" s="31" t="s">
        <v>294</v>
      </c>
    </row>
    <row r="137" spans="1:7" ht="12.75" thickBot="1" x14ac:dyDescent="0.25">
      <c r="A137" s="85"/>
      <c r="B137" s="83"/>
      <c r="C137" s="85"/>
      <c r="D137" s="83"/>
      <c r="E137" s="18">
        <v>42646.58</v>
      </c>
      <c r="F137" s="83"/>
      <c r="G137" s="32" t="s">
        <v>23</v>
      </c>
    </row>
    <row r="138" spans="1:7" x14ac:dyDescent="0.2">
      <c r="A138" s="37">
        <v>122</v>
      </c>
      <c r="B138" s="33" t="s">
        <v>296</v>
      </c>
      <c r="C138" s="37">
        <v>83416546499</v>
      </c>
      <c r="D138" s="33" t="s">
        <v>299</v>
      </c>
      <c r="E138" s="17">
        <v>37.49</v>
      </c>
      <c r="F138" s="33" t="s">
        <v>10</v>
      </c>
      <c r="G138" s="34" t="s">
        <v>64</v>
      </c>
    </row>
    <row r="139" spans="1:7" x14ac:dyDescent="0.2">
      <c r="A139" s="11">
        <v>123</v>
      </c>
      <c r="B139" s="5" t="s">
        <v>284</v>
      </c>
      <c r="C139" s="11">
        <v>10235187780</v>
      </c>
      <c r="D139" s="5" t="s">
        <v>286</v>
      </c>
      <c r="E139" s="8">
        <v>324.77999999999997</v>
      </c>
      <c r="F139" s="5" t="s">
        <v>10</v>
      </c>
      <c r="G139" s="2" t="s">
        <v>285</v>
      </c>
    </row>
    <row r="140" spans="1:7" x14ac:dyDescent="0.2">
      <c r="A140" s="11">
        <v>124</v>
      </c>
      <c r="B140" s="5" t="s">
        <v>17</v>
      </c>
      <c r="C140" s="11" t="s">
        <v>17</v>
      </c>
      <c r="D140" s="5" t="s">
        <v>17</v>
      </c>
      <c r="E140" s="8">
        <v>39585.65</v>
      </c>
      <c r="F140" s="5" t="s">
        <v>10</v>
      </c>
      <c r="G140" s="2" t="s">
        <v>300</v>
      </c>
    </row>
    <row r="141" spans="1:7" x14ac:dyDescent="0.2">
      <c r="A141" s="11">
        <v>125</v>
      </c>
      <c r="B141" s="5" t="s">
        <v>301</v>
      </c>
      <c r="C141" s="11">
        <v>60314119747</v>
      </c>
      <c r="D141" s="5" t="s">
        <v>298</v>
      </c>
      <c r="E141" s="8">
        <v>174881.74</v>
      </c>
      <c r="F141" s="5" t="s">
        <v>10</v>
      </c>
      <c r="G141" s="2" t="s">
        <v>23</v>
      </c>
    </row>
    <row r="142" spans="1:7" x14ac:dyDescent="0.2">
      <c r="A142" s="11">
        <v>126</v>
      </c>
      <c r="B142" s="5" t="s">
        <v>302</v>
      </c>
      <c r="C142" s="11" t="s">
        <v>303</v>
      </c>
      <c r="D142" s="5" t="s">
        <v>304</v>
      </c>
      <c r="E142" s="8">
        <v>9311.76</v>
      </c>
      <c r="F142" s="5" t="s">
        <v>10</v>
      </c>
      <c r="G142" s="2" t="s">
        <v>23</v>
      </c>
    </row>
    <row r="143" spans="1:7" x14ac:dyDescent="0.2">
      <c r="A143" s="11">
        <v>127</v>
      </c>
      <c r="B143" s="5" t="s">
        <v>912</v>
      </c>
      <c r="C143" s="11">
        <v>52909770220</v>
      </c>
      <c r="D143" s="5" t="s">
        <v>89</v>
      </c>
      <c r="E143" s="8">
        <v>2026.25</v>
      </c>
      <c r="F143" s="5" t="s">
        <v>10</v>
      </c>
      <c r="G143" s="2" t="s">
        <v>86</v>
      </c>
    </row>
    <row r="144" spans="1:7" x14ac:dyDescent="0.2">
      <c r="A144" s="11">
        <v>128</v>
      </c>
      <c r="B144" s="5" t="s">
        <v>308</v>
      </c>
      <c r="C144" s="12" t="s">
        <v>310</v>
      </c>
      <c r="D144" s="5" t="s">
        <v>309</v>
      </c>
      <c r="E144" s="8">
        <v>17275</v>
      </c>
      <c r="F144" s="5" t="s">
        <v>10</v>
      </c>
      <c r="G144" s="2" t="s">
        <v>23</v>
      </c>
    </row>
    <row r="145" spans="1:12" x14ac:dyDescent="0.2">
      <c r="A145" s="11">
        <v>129</v>
      </c>
      <c r="B145" s="5" t="s">
        <v>311</v>
      </c>
      <c r="C145" s="11">
        <v>95243482140</v>
      </c>
      <c r="D145" s="5" t="s">
        <v>312</v>
      </c>
      <c r="E145" s="8">
        <v>3831.74</v>
      </c>
      <c r="F145" s="5" t="s">
        <v>10</v>
      </c>
      <c r="G145" s="2" t="s">
        <v>23</v>
      </c>
    </row>
    <row r="146" spans="1:12" x14ac:dyDescent="0.2">
      <c r="A146" s="11">
        <v>130</v>
      </c>
      <c r="B146" s="5" t="s">
        <v>1031</v>
      </c>
      <c r="C146" s="11">
        <v>32034925094</v>
      </c>
      <c r="D146" s="5" t="s">
        <v>1032</v>
      </c>
      <c r="E146" s="8">
        <v>1234.29</v>
      </c>
      <c r="F146" s="5" t="s">
        <v>10</v>
      </c>
      <c r="G146" s="2" t="s">
        <v>23</v>
      </c>
    </row>
    <row r="147" spans="1:12" x14ac:dyDescent="0.2">
      <c r="A147" s="11">
        <v>131</v>
      </c>
      <c r="B147" s="5" t="s">
        <v>315</v>
      </c>
      <c r="C147" s="11">
        <v>98656691838</v>
      </c>
      <c r="D147" s="5" t="s">
        <v>316</v>
      </c>
      <c r="E147" s="8">
        <v>9116.25</v>
      </c>
      <c r="F147" s="5" t="s">
        <v>10</v>
      </c>
      <c r="G147" s="2" t="s">
        <v>23</v>
      </c>
    </row>
    <row r="148" spans="1:12" x14ac:dyDescent="0.2">
      <c r="A148" s="11">
        <v>132</v>
      </c>
      <c r="B148" s="5" t="s">
        <v>1033</v>
      </c>
      <c r="C148" s="11">
        <v>89811416156</v>
      </c>
      <c r="D148" s="5" t="s">
        <v>1034</v>
      </c>
      <c r="E148" s="8">
        <v>137.5</v>
      </c>
      <c r="F148" s="5" t="s">
        <v>10</v>
      </c>
      <c r="G148" s="2" t="s">
        <v>505</v>
      </c>
    </row>
    <row r="149" spans="1:12" x14ac:dyDescent="0.2">
      <c r="A149" s="11">
        <v>133</v>
      </c>
      <c r="B149" s="5" t="s">
        <v>321</v>
      </c>
      <c r="C149" s="11">
        <v>66346732180</v>
      </c>
      <c r="D149" s="5" t="s">
        <v>322</v>
      </c>
      <c r="E149" s="8">
        <v>350</v>
      </c>
      <c r="F149" s="5" t="s">
        <v>10</v>
      </c>
      <c r="G149" s="2" t="s">
        <v>243</v>
      </c>
    </row>
    <row r="150" spans="1:12" x14ac:dyDescent="0.2">
      <c r="A150" s="11">
        <v>134</v>
      </c>
      <c r="B150" s="5" t="s">
        <v>323</v>
      </c>
      <c r="C150" s="11">
        <v>15907062900</v>
      </c>
      <c r="D150" s="5" t="s">
        <v>325</v>
      </c>
      <c r="E150" s="8">
        <v>6490.43</v>
      </c>
      <c r="F150" s="5" t="s">
        <v>10</v>
      </c>
      <c r="G150" s="2" t="s">
        <v>324</v>
      </c>
    </row>
    <row r="151" spans="1:12" x14ac:dyDescent="0.2">
      <c r="A151" s="11">
        <v>135</v>
      </c>
      <c r="B151" s="23" t="s">
        <v>1035</v>
      </c>
      <c r="C151" s="24">
        <v>71843925886</v>
      </c>
      <c r="D151" s="23" t="s">
        <v>1036</v>
      </c>
      <c r="E151" s="8">
        <v>100</v>
      </c>
      <c r="F151" s="5" t="s">
        <v>10</v>
      </c>
      <c r="G151" s="2" t="s">
        <v>23</v>
      </c>
    </row>
    <row r="152" spans="1:12" x14ac:dyDescent="0.2">
      <c r="A152" s="11">
        <v>136</v>
      </c>
      <c r="B152" s="5" t="s">
        <v>713</v>
      </c>
      <c r="C152" s="11" t="s">
        <v>715</v>
      </c>
      <c r="D152" s="5" t="s">
        <v>714</v>
      </c>
      <c r="E152" s="8">
        <v>1838</v>
      </c>
      <c r="F152" s="5" t="s">
        <v>10</v>
      </c>
      <c r="G152" s="2" t="s">
        <v>23</v>
      </c>
    </row>
    <row r="153" spans="1:12" x14ac:dyDescent="0.2">
      <c r="A153" s="11">
        <v>137</v>
      </c>
      <c r="B153" s="5" t="s">
        <v>332</v>
      </c>
      <c r="C153" s="12" t="s">
        <v>334</v>
      </c>
      <c r="D153" s="5" t="s">
        <v>333</v>
      </c>
      <c r="E153" s="8">
        <v>440.9</v>
      </c>
      <c r="F153" s="5" t="s">
        <v>10</v>
      </c>
      <c r="G153" s="2" t="s">
        <v>330</v>
      </c>
    </row>
    <row r="154" spans="1:12" x14ac:dyDescent="0.2">
      <c r="A154" s="11">
        <v>138</v>
      </c>
      <c r="B154" s="5" t="s">
        <v>278</v>
      </c>
      <c r="C154" s="11">
        <v>51846314410</v>
      </c>
      <c r="D154" s="5" t="s">
        <v>279</v>
      </c>
      <c r="E154" s="8">
        <v>1401.14</v>
      </c>
      <c r="F154" s="5" t="s">
        <v>10</v>
      </c>
      <c r="G154" s="2" t="s">
        <v>23</v>
      </c>
    </row>
    <row r="155" spans="1:12" x14ac:dyDescent="0.2">
      <c r="A155" s="11">
        <v>139</v>
      </c>
      <c r="B155" s="5" t="s">
        <v>337</v>
      </c>
      <c r="C155" s="11">
        <v>97994010225</v>
      </c>
      <c r="D155" s="5" t="s">
        <v>338</v>
      </c>
      <c r="E155" s="8">
        <v>167.84</v>
      </c>
      <c r="F155" s="5" t="s">
        <v>10</v>
      </c>
      <c r="G155" s="2" t="s">
        <v>23</v>
      </c>
    </row>
    <row r="156" spans="1:12" x14ac:dyDescent="0.2">
      <c r="A156" s="11">
        <v>140</v>
      </c>
      <c r="B156" s="5" t="s">
        <v>668</v>
      </c>
      <c r="C156" s="12" t="s">
        <v>670</v>
      </c>
      <c r="D156" s="5" t="s">
        <v>669</v>
      </c>
      <c r="E156" s="8">
        <v>6730</v>
      </c>
      <c r="F156" s="5" t="s">
        <v>10</v>
      </c>
      <c r="G156" s="2" t="s">
        <v>23</v>
      </c>
    </row>
    <row r="157" spans="1:12" x14ac:dyDescent="0.2">
      <c r="A157" s="11">
        <v>141</v>
      </c>
      <c r="B157" s="5" t="s">
        <v>341</v>
      </c>
      <c r="C157" s="11">
        <v>78969071801</v>
      </c>
      <c r="D157" s="5" t="s">
        <v>342</v>
      </c>
      <c r="E157" s="8">
        <v>3018.8</v>
      </c>
      <c r="F157" s="5" t="s">
        <v>10</v>
      </c>
      <c r="G157" s="2" t="s">
        <v>23</v>
      </c>
      <c r="J157" s="13"/>
    </row>
    <row r="158" spans="1:12" x14ac:dyDescent="0.2">
      <c r="A158" s="11">
        <v>142</v>
      </c>
      <c r="B158" s="5" t="s">
        <v>420</v>
      </c>
      <c r="C158" s="11">
        <v>57495737984</v>
      </c>
      <c r="D158" s="5" t="s">
        <v>421</v>
      </c>
      <c r="E158" s="8">
        <v>333.1</v>
      </c>
      <c r="F158" s="5" t="s">
        <v>10</v>
      </c>
      <c r="G158" s="2" t="s">
        <v>287</v>
      </c>
    </row>
    <row r="159" spans="1:12" x14ac:dyDescent="0.2">
      <c r="A159" s="11">
        <v>143</v>
      </c>
      <c r="B159" s="5" t="s">
        <v>347</v>
      </c>
      <c r="C159" s="11">
        <v>51892779522</v>
      </c>
      <c r="D159" s="5" t="s">
        <v>348</v>
      </c>
      <c r="E159" s="8">
        <v>3125</v>
      </c>
      <c r="F159" s="5" t="s">
        <v>10</v>
      </c>
      <c r="G159" s="2" t="s">
        <v>23</v>
      </c>
      <c r="L159" s="21"/>
    </row>
    <row r="160" spans="1:12" x14ac:dyDescent="0.2">
      <c r="A160" s="11">
        <v>144</v>
      </c>
      <c r="B160" s="5" t="s">
        <v>364</v>
      </c>
      <c r="C160" s="11">
        <v>42769559951</v>
      </c>
      <c r="D160" s="5" t="s">
        <v>365</v>
      </c>
      <c r="E160" s="8">
        <v>1559.88</v>
      </c>
      <c r="F160" s="5" t="s">
        <v>10</v>
      </c>
      <c r="G160" s="2" t="s">
        <v>23</v>
      </c>
    </row>
    <row r="161" spans="1:7" x14ac:dyDescent="0.2">
      <c r="A161" s="11">
        <v>145</v>
      </c>
      <c r="B161" s="5" t="s">
        <v>372</v>
      </c>
      <c r="C161" s="11">
        <v>64021574271</v>
      </c>
      <c r="D161" s="5" t="s">
        <v>373</v>
      </c>
      <c r="E161" s="8">
        <v>140.31</v>
      </c>
      <c r="F161" s="5" t="s">
        <v>10</v>
      </c>
      <c r="G161" s="2" t="s">
        <v>23</v>
      </c>
    </row>
    <row r="162" spans="1:7" x14ac:dyDescent="0.2">
      <c r="A162" s="11">
        <v>146</v>
      </c>
      <c r="B162" s="5" t="s">
        <v>374</v>
      </c>
      <c r="C162" s="11">
        <v>48249084626</v>
      </c>
      <c r="D162" s="5" t="s">
        <v>375</v>
      </c>
      <c r="E162" s="8">
        <v>1283.71</v>
      </c>
      <c r="F162" s="5" t="s">
        <v>10</v>
      </c>
      <c r="G162" s="2" t="s">
        <v>23</v>
      </c>
    </row>
    <row r="163" spans="1:7" x14ac:dyDescent="0.2">
      <c r="A163" s="11">
        <v>147</v>
      </c>
      <c r="B163" s="5" t="s">
        <v>376</v>
      </c>
      <c r="C163" s="11">
        <v>26901839603</v>
      </c>
      <c r="D163" s="5" t="s">
        <v>377</v>
      </c>
      <c r="E163" s="8">
        <v>1121.8900000000001</v>
      </c>
      <c r="F163" s="5" t="s">
        <v>10</v>
      </c>
      <c r="G163" s="2" t="s">
        <v>23</v>
      </c>
    </row>
    <row r="164" spans="1:7" x14ac:dyDescent="0.2">
      <c r="A164" s="11">
        <v>148</v>
      </c>
      <c r="B164" s="5" t="s">
        <v>812</v>
      </c>
      <c r="C164" s="11">
        <v>93716144137</v>
      </c>
      <c r="D164" s="5" t="s">
        <v>813</v>
      </c>
      <c r="E164" s="8">
        <v>10019.799999999999</v>
      </c>
      <c r="F164" s="5" t="s">
        <v>10</v>
      </c>
      <c r="G164" s="2" t="s">
        <v>23</v>
      </c>
    </row>
    <row r="165" spans="1:7" x14ac:dyDescent="0.2">
      <c r="A165" s="11">
        <v>149</v>
      </c>
      <c r="B165" s="5" t="s">
        <v>511</v>
      </c>
      <c r="C165" s="12">
        <v>10765766984</v>
      </c>
      <c r="D165" s="5" t="s">
        <v>926</v>
      </c>
      <c r="E165" s="8">
        <v>1188</v>
      </c>
      <c r="F165" s="5" t="s">
        <v>10</v>
      </c>
      <c r="G165" s="2" t="s">
        <v>23</v>
      </c>
    </row>
    <row r="166" spans="1:7" x14ac:dyDescent="0.2">
      <c r="A166" s="11">
        <v>150</v>
      </c>
      <c r="B166" s="5" t="s">
        <v>382</v>
      </c>
      <c r="C166" s="11">
        <v>76080865307</v>
      </c>
      <c r="D166" s="5" t="s">
        <v>383</v>
      </c>
      <c r="E166" s="8">
        <v>38.159999999999997</v>
      </c>
      <c r="F166" s="5" t="s">
        <v>10</v>
      </c>
      <c r="G166" s="2" t="s">
        <v>287</v>
      </c>
    </row>
    <row r="167" spans="1:7" x14ac:dyDescent="0.2">
      <c r="A167" s="11">
        <v>151</v>
      </c>
      <c r="B167" s="5" t="s">
        <v>386</v>
      </c>
      <c r="C167" s="11">
        <v>60365429880</v>
      </c>
      <c r="D167" s="5" t="s">
        <v>387</v>
      </c>
      <c r="E167" s="8">
        <f>132.93+763.43</f>
        <v>896.3599999999999</v>
      </c>
      <c r="F167" s="5" t="s">
        <v>10</v>
      </c>
      <c r="G167" s="2" t="s">
        <v>23</v>
      </c>
    </row>
    <row r="168" spans="1:7" x14ac:dyDescent="0.2">
      <c r="A168" s="11">
        <v>152</v>
      </c>
      <c r="B168" s="5" t="s">
        <v>391</v>
      </c>
      <c r="C168" s="11">
        <v>37879152548</v>
      </c>
      <c r="D168" s="5" t="s">
        <v>392</v>
      </c>
      <c r="E168" s="8">
        <v>2709.3</v>
      </c>
      <c r="F168" s="5" t="s">
        <v>10</v>
      </c>
      <c r="G168" s="2" t="s">
        <v>23</v>
      </c>
    </row>
    <row r="169" spans="1:7" x14ac:dyDescent="0.2">
      <c r="A169" s="11">
        <v>153</v>
      </c>
      <c r="B169" s="5" t="s">
        <v>459</v>
      </c>
      <c r="C169" s="11">
        <v>64008199572</v>
      </c>
      <c r="D169" s="5" t="s">
        <v>460</v>
      </c>
      <c r="E169" s="8">
        <f>188.16+309.94</f>
        <v>498.1</v>
      </c>
      <c r="F169" s="5" t="s">
        <v>10</v>
      </c>
      <c r="G169" s="2" t="s">
        <v>23</v>
      </c>
    </row>
    <row r="170" spans="1:7" x14ac:dyDescent="0.2">
      <c r="A170" s="11">
        <v>154</v>
      </c>
      <c r="B170" s="5" t="s">
        <v>395</v>
      </c>
      <c r="C170" s="11">
        <v>39048902955</v>
      </c>
      <c r="D170" s="5" t="s">
        <v>396</v>
      </c>
      <c r="E170" s="8">
        <v>963.63</v>
      </c>
      <c r="F170" s="5" t="s">
        <v>10</v>
      </c>
      <c r="G170" s="2" t="s">
        <v>64</v>
      </c>
    </row>
    <row r="171" spans="1:7" x14ac:dyDescent="0.2">
      <c r="A171" s="11">
        <v>155</v>
      </c>
      <c r="B171" s="5" t="s">
        <v>397</v>
      </c>
      <c r="C171" s="11">
        <v>85375838060</v>
      </c>
      <c r="D171" s="5" t="s">
        <v>398</v>
      </c>
      <c r="E171" s="8">
        <v>314.05</v>
      </c>
      <c r="F171" s="5" t="s">
        <v>10</v>
      </c>
      <c r="G171" s="2" t="s">
        <v>64</v>
      </c>
    </row>
    <row r="172" spans="1:7" x14ac:dyDescent="0.2">
      <c r="A172" s="11">
        <v>156</v>
      </c>
      <c r="B172" s="5" t="s">
        <v>1037</v>
      </c>
      <c r="C172" s="11">
        <v>26187994862</v>
      </c>
      <c r="D172" s="5" t="s">
        <v>1039</v>
      </c>
      <c r="E172" s="8">
        <v>1814.82</v>
      </c>
      <c r="F172" s="5" t="s">
        <v>10</v>
      </c>
      <c r="G172" s="2" t="s">
        <v>1038</v>
      </c>
    </row>
    <row r="173" spans="1:7" x14ac:dyDescent="0.2">
      <c r="A173" s="11">
        <v>157</v>
      </c>
      <c r="B173" s="5" t="s">
        <v>401</v>
      </c>
      <c r="C173" s="11">
        <v>55614719992</v>
      </c>
      <c r="D173" s="5" t="s">
        <v>402</v>
      </c>
      <c r="E173" s="8">
        <v>3345.92</v>
      </c>
      <c r="F173" s="5" t="s">
        <v>10</v>
      </c>
      <c r="G173" s="2" t="s">
        <v>23</v>
      </c>
    </row>
    <row r="174" spans="1:7" x14ac:dyDescent="0.2">
      <c r="A174" s="11">
        <v>158</v>
      </c>
      <c r="B174" s="5" t="s">
        <v>403</v>
      </c>
      <c r="C174" s="11">
        <v>95325472047</v>
      </c>
      <c r="D174" s="5" t="s">
        <v>404</v>
      </c>
      <c r="E174" s="8">
        <v>1880.96</v>
      </c>
      <c r="F174" s="5" t="s">
        <v>10</v>
      </c>
      <c r="G174" s="2" t="s">
        <v>23</v>
      </c>
    </row>
    <row r="175" spans="1:7" x14ac:dyDescent="0.2">
      <c r="A175" s="11">
        <v>159</v>
      </c>
      <c r="B175" s="5" t="s">
        <v>504</v>
      </c>
      <c r="C175" s="11">
        <v>75297532041</v>
      </c>
      <c r="D175" s="5" t="s">
        <v>506</v>
      </c>
      <c r="E175" s="8">
        <v>71.680000000000007</v>
      </c>
      <c r="F175" s="5" t="s">
        <v>10</v>
      </c>
      <c r="G175" s="2" t="s">
        <v>505</v>
      </c>
    </row>
    <row r="176" spans="1:7" x14ac:dyDescent="0.2">
      <c r="A176" s="11">
        <v>160</v>
      </c>
      <c r="B176" s="5" t="s">
        <v>1040</v>
      </c>
      <c r="C176" s="11">
        <v>20232388265</v>
      </c>
      <c r="D176" s="5" t="s">
        <v>1041</v>
      </c>
      <c r="E176" s="8">
        <v>1500</v>
      </c>
      <c r="F176" s="5" t="s">
        <v>10</v>
      </c>
      <c r="G176" s="2" t="s">
        <v>23</v>
      </c>
    </row>
    <row r="177" spans="1:7" x14ac:dyDescent="0.2">
      <c r="A177" s="11">
        <v>161</v>
      </c>
      <c r="B177" s="5" t="s">
        <v>411</v>
      </c>
      <c r="C177" s="11">
        <v>110752628</v>
      </c>
      <c r="D177" s="5" t="s">
        <v>414</v>
      </c>
      <c r="E177" s="8">
        <v>584.78</v>
      </c>
      <c r="F177" s="5" t="s">
        <v>10</v>
      </c>
      <c r="G177" s="2" t="s">
        <v>23</v>
      </c>
    </row>
    <row r="178" spans="1:7" x14ac:dyDescent="0.2">
      <c r="A178" s="11">
        <v>162</v>
      </c>
      <c r="B178" s="5" t="s">
        <v>412</v>
      </c>
      <c r="C178" s="11">
        <v>85611744662</v>
      </c>
      <c r="D178" s="5" t="s">
        <v>413</v>
      </c>
      <c r="E178" s="8">
        <v>506.04</v>
      </c>
      <c r="F178" s="5" t="s">
        <v>10</v>
      </c>
      <c r="G178" s="2" t="s">
        <v>23</v>
      </c>
    </row>
    <row r="179" spans="1:7" x14ac:dyDescent="0.2">
      <c r="A179" s="11">
        <v>163</v>
      </c>
      <c r="B179" s="5" t="s">
        <v>1042</v>
      </c>
      <c r="C179" s="11" t="s">
        <v>1043</v>
      </c>
      <c r="D179" s="5" t="s">
        <v>1044</v>
      </c>
      <c r="E179" s="8">
        <v>768</v>
      </c>
      <c r="F179" s="5" t="s">
        <v>10</v>
      </c>
      <c r="G179" s="2" t="s">
        <v>23</v>
      </c>
    </row>
    <row r="180" spans="1:7" x14ac:dyDescent="0.2">
      <c r="A180" s="11">
        <v>164</v>
      </c>
      <c r="B180" s="5" t="s">
        <v>267</v>
      </c>
      <c r="C180" s="12" t="s">
        <v>269</v>
      </c>
      <c r="D180" s="5" t="s">
        <v>268</v>
      </c>
      <c r="E180" s="8">
        <v>3312.5</v>
      </c>
      <c r="F180" s="5" t="s">
        <v>10</v>
      </c>
      <c r="G180" s="2" t="s">
        <v>23</v>
      </c>
    </row>
    <row r="181" spans="1:7" x14ac:dyDescent="0.2">
      <c r="A181" s="11">
        <v>165</v>
      </c>
      <c r="B181" s="5" t="s">
        <v>428</v>
      </c>
      <c r="C181" s="11">
        <v>53785632625</v>
      </c>
      <c r="D181" s="5" t="s">
        <v>429</v>
      </c>
      <c r="E181" s="8">
        <v>1744.06</v>
      </c>
      <c r="F181" s="5" t="s">
        <v>10</v>
      </c>
      <c r="G181" s="2" t="s">
        <v>23</v>
      </c>
    </row>
    <row r="182" spans="1:7" x14ac:dyDescent="0.2">
      <c r="A182" s="11">
        <v>166</v>
      </c>
      <c r="B182" s="5" t="s">
        <v>1045</v>
      </c>
      <c r="C182" s="11" t="s">
        <v>1046</v>
      </c>
      <c r="D182" s="5" t="s">
        <v>1047</v>
      </c>
      <c r="E182" s="8">
        <v>2445.2399999999998</v>
      </c>
      <c r="F182" s="5" t="s">
        <v>10</v>
      </c>
      <c r="G182" s="2" t="s">
        <v>23</v>
      </c>
    </row>
    <row r="183" spans="1:7" x14ac:dyDescent="0.2">
      <c r="A183" s="11">
        <v>167</v>
      </c>
      <c r="B183" s="5" t="s">
        <v>1048</v>
      </c>
      <c r="C183" s="11">
        <v>51925436571</v>
      </c>
      <c r="D183" s="5" t="s">
        <v>1049</v>
      </c>
      <c r="E183" s="8">
        <v>2436.4899999999998</v>
      </c>
      <c r="F183" s="5" t="s">
        <v>10</v>
      </c>
      <c r="G183" s="2" t="s">
        <v>23</v>
      </c>
    </row>
    <row r="184" spans="1:7" x14ac:dyDescent="0.2">
      <c r="A184" s="11">
        <v>168</v>
      </c>
      <c r="B184" s="5" t="s">
        <v>407</v>
      </c>
      <c r="C184" s="11">
        <v>89027343720</v>
      </c>
      <c r="D184" s="5" t="s">
        <v>408</v>
      </c>
      <c r="E184" s="8">
        <v>1047.24</v>
      </c>
      <c r="F184" s="5" t="s">
        <v>10</v>
      </c>
      <c r="G184" s="2" t="s">
        <v>23</v>
      </c>
    </row>
    <row r="185" spans="1:7" x14ac:dyDescent="0.2">
      <c r="A185" s="11">
        <v>169</v>
      </c>
      <c r="B185" s="5" t="s">
        <v>437</v>
      </c>
      <c r="C185" s="11">
        <v>76147579166</v>
      </c>
      <c r="D185" s="5" t="s">
        <v>438</v>
      </c>
      <c r="E185" s="8">
        <v>7.5</v>
      </c>
      <c r="F185" s="5" t="s">
        <v>10</v>
      </c>
      <c r="G185" s="2" t="s">
        <v>23</v>
      </c>
    </row>
    <row r="186" spans="1:7" x14ac:dyDescent="0.2">
      <c r="A186" s="11">
        <v>170</v>
      </c>
      <c r="B186" s="5" t="s">
        <v>439</v>
      </c>
      <c r="C186" s="11">
        <v>48841983787</v>
      </c>
      <c r="D186" s="5" t="s">
        <v>440</v>
      </c>
      <c r="E186" s="8">
        <v>10611.19</v>
      </c>
      <c r="F186" s="5" t="s">
        <v>10</v>
      </c>
      <c r="G186" s="2" t="s">
        <v>23</v>
      </c>
    </row>
    <row r="187" spans="1:7" x14ac:dyDescent="0.2">
      <c r="A187" s="11">
        <v>171</v>
      </c>
      <c r="B187" s="5" t="s">
        <v>441</v>
      </c>
      <c r="C187" s="11">
        <v>12443607100</v>
      </c>
      <c r="D187" s="5" t="s">
        <v>442</v>
      </c>
      <c r="E187" s="8">
        <v>2756.25</v>
      </c>
      <c r="F187" s="5" t="s">
        <v>10</v>
      </c>
      <c r="G187" s="2" t="s">
        <v>23</v>
      </c>
    </row>
    <row r="188" spans="1:7" x14ac:dyDescent="0.2">
      <c r="A188" s="11">
        <v>172</v>
      </c>
      <c r="B188" s="5" t="s">
        <v>345</v>
      </c>
      <c r="C188" s="11">
        <v>47530485643</v>
      </c>
      <c r="D188" s="5" t="s">
        <v>346</v>
      </c>
      <c r="E188" s="8">
        <v>6833.75</v>
      </c>
      <c r="F188" s="5" t="s">
        <v>10</v>
      </c>
      <c r="G188" s="2" t="s">
        <v>23</v>
      </c>
    </row>
    <row r="189" spans="1:7" x14ac:dyDescent="0.2">
      <c r="A189" s="11">
        <v>173</v>
      </c>
      <c r="B189" s="5" t="s">
        <v>156</v>
      </c>
      <c r="C189" s="11">
        <v>51645411160</v>
      </c>
      <c r="D189" s="5" t="s">
        <v>215</v>
      </c>
      <c r="E189" s="8">
        <f>1071.96+46.84</f>
        <v>1118.8</v>
      </c>
      <c r="F189" s="5" t="s">
        <v>10</v>
      </c>
      <c r="G189" s="2" t="s">
        <v>23</v>
      </c>
    </row>
    <row r="190" spans="1:7" x14ac:dyDescent="0.2">
      <c r="A190" s="11">
        <v>174</v>
      </c>
      <c r="B190" s="5" t="s">
        <v>704</v>
      </c>
      <c r="C190" s="11">
        <v>11294943436</v>
      </c>
      <c r="D190" s="5" t="s">
        <v>705</v>
      </c>
      <c r="E190" s="8">
        <v>153.06</v>
      </c>
      <c r="F190" s="5" t="s">
        <v>10</v>
      </c>
      <c r="G190" s="2" t="s">
        <v>112</v>
      </c>
    </row>
    <row r="191" spans="1:7" x14ac:dyDescent="0.2">
      <c r="A191" s="11">
        <v>175</v>
      </c>
      <c r="B191" s="5" t="s">
        <v>1050</v>
      </c>
      <c r="C191" s="12" t="s">
        <v>1051</v>
      </c>
      <c r="D191" s="5" t="s">
        <v>1052</v>
      </c>
      <c r="E191" s="8">
        <v>5880</v>
      </c>
      <c r="F191" s="5" t="s">
        <v>10</v>
      </c>
      <c r="G191" s="2" t="s">
        <v>23</v>
      </c>
    </row>
    <row r="192" spans="1:7" x14ac:dyDescent="0.2">
      <c r="A192" s="11">
        <v>176</v>
      </c>
      <c r="B192" s="5" t="s">
        <v>451</v>
      </c>
      <c r="C192" s="11" t="s">
        <v>452</v>
      </c>
      <c r="D192" s="5" t="s">
        <v>453</v>
      </c>
      <c r="E192" s="8">
        <v>1724.02</v>
      </c>
      <c r="F192" s="5" t="s">
        <v>10</v>
      </c>
      <c r="G192" s="2" t="s">
        <v>23</v>
      </c>
    </row>
    <row r="193" spans="1:7" x14ac:dyDescent="0.2">
      <c r="A193" s="11">
        <v>177</v>
      </c>
      <c r="B193" s="5" t="s">
        <v>335</v>
      </c>
      <c r="C193" s="11">
        <v>33302328387</v>
      </c>
      <c r="D193" s="5" t="s">
        <v>336</v>
      </c>
      <c r="E193" s="8">
        <v>13945</v>
      </c>
      <c r="F193" s="5" t="s">
        <v>10</v>
      </c>
      <c r="G193" s="2" t="s">
        <v>260</v>
      </c>
    </row>
    <row r="194" spans="1:7" x14ac:dyDescent="0.2">
      <c r="A194" s="11">
        <v>178</v>
      </c>
      <c r="B194" s="5" t="s">
        <v>1053</v>
      </c>
      <c r="C194" s="11">
        <v>49214559889</v>
      </c>
      <c r="D194" s="5" t="s">
        <v>1054</v>
      </c>
      <c r="E194" s="8">
        <v>6500</v>
      </c>
      <c r="F194" s="5" t="s">
        <v>10</v>
      </c>
      <c r="G194" s="2" t="s">
        <v>23</v>
      </c>
    </row>
    <row r="195" spans="1:7" x14ac:dyDescent="0.2">
      <c r="A195" s="11">
        <v>179</v>
      </c>
      <c r="B195" s="5" t="s">
        <v>259</v>
      </c>
      <c r="C195" s="11">
        <v>46289034988</v>
      </c>
      <c r="D195" s="5" t="s">
        <v>261</v>
      </c>
      <c r="E195" s="8">
        <v>167.25</v>
      </c>
      <c r="F195" s="5" t="s">
        <v>10</v>
      </c>
      <c r="G195" s="2" t="s">
        <v>260</v>
      </c>
    </row>
    <row r="196" spans="1:7" x14ac:dyDescent="0.2">
      <c r="A196" s="11">
        <v>180</v>
      </c>
      <c r="B196" s="5" t="s">
        <v>959</v>
      </c>
      <c r="C196" s="11">
        <v>18545665005</v>
      </c>
      <c r="D196" s="5" t="s">
        <v>509</v>
      </c>
      <c r="E196" s="8">
        <v>2900</v>
      </c>
      <c r="F196" s="5" t="s">
        <v>10</v>
      </c>
      <c r="G196" s="2" t="s">
        <v>23</v>
      </c>
    </row>
    <row r="197" spans="1:7" x14ac:dyDescent="0.2">
      <c r="A197" s="11">
        <v>181</v>
      </c>
      <c r="B197" s="5" t="s">
        <v>1055</v>
      </c>
      <c r="C197" s="11">
        <v>35067158852</v>
      </c>
      <c r="D197" s="5" t="s">
        <v>1056</v>
      </c>
      <c r="E197" s="8">
        <v>212.5</v>
      </c>
      <c r="F197" s="5" t="s">
        <v>10</v>
      </c>
      <c r="G197" s="2" t="s">
        <v>505</v>
      </c>
    </row>
    <row r="198" spans="1:7" x14ac:dyDescent="0.2">
      <c r="A198" s="11">
        <v>182</v>
      </c>
      <c r="B198" s="5" t="s">
        <v>992</v>
      </c>
      <c r="C198" s="12">
        <v>38264973565</v>
      </c>
      <c r="D198" s="5" t="s">
        <v>993</v>
      </c>
      <c r="E198" s="8">
        <v>410.14</v>
      </c>
      <c r="F198" s="5" t="s">
        <v>10</v>
      </c>
      <c r="G198" s="2" t="s">
        <v>23</v>
      </c>
    </row>
    <row r="199" spans="1:7" x14ac:dyDescent="0.2">
      <c r="A199" s="11">
        <v>183</v>
      </c>
      <c r="B199" s="5" t="s">
        <v>135</v>
      </c>
      <c r="C199" s="11">
        <v>38812451417</v>
      </c>
      <c r="D199" s="5" t="s">
        <v>198</v>
      </c>
      <c r="E199" s="8">
        <v>159.26</v>
      </c>
      <c r="F199" s="5" t="s">
        <v>10</v>
      </c>
      <c r="G199" s="2" t="s">
        <v>112</v>
      </c>
    </row>
    <row r="200" spans="1:7" x14ac:dyDescent="0.2">
      <c r="A200" s="11">
        <v>184</v>
      </c>
      <c r="B200" s="5" t="s">
        <v>471</v>
      </c>
      <c r="C200" s="11">
        <v>54661026138</v>
      </c>
      <c r="D200" s="5" t="s">
        <v>472</v>
      </c>
      <c r="E200" s="8">
        <v>150.85</v>
      </c>
      <c r="F200" s="5" t="s">
        <v>10</v>
      </c>
      <c r="G200" s="2" t="s">
        <v>23</v>
      </c>
    </row>
    <row r="201" spans="1:7" x14ac:dyDescent="0.2">
      <c r="A201" s="11">
        <v>185</v>
      </c>
      <c r="B201" s="5" t="s">
        <v>655</v>
      </c>
      <c r="C201" s="11" t="s">
        <v>657</v>
      </c>
      <c r="D201" s="5" t="s">
        <v>656</v>
      </c>
      <c r="E201" s="8">
        <v>2165.5700000000002</v>
      </c>
      <c r="F201" s="5" t="s">
        <v>10</v>
      </c>
      <c r="G201" s="2" t="s">
        <v>23</v>
      </c>
    </row>
    <row r="202" spans="1:7" x14ac:dyDescent="0.2">
      <c r="A202" s="11">
        <v>186</v>
      </c>
      <c r="B202" s="5" t="s">
        <v>1057</v>
      </c>
      <c r="C202" s="12">
        <v>87820633818</v>
      </c>
      <c r="D202" s="5" t="s">
        <v>1058</v>
      </c>
      <c r="E202" s="8">
        <v>1443.75</v>
      </c>
      <c r="F202" s="5" t="s">
        <v>10</v>
      </c>
      <c r="G202" s="2" t="s">
        <v>23</v>
      </c>
    </row>
    <row r="203" spans="1:7" x14ac:dyDescent="0.2">
      <c r="A203" s="11">
        <v>187</v>
      </c>
      <c r="B203" s="5" t="s">
        <v>473</v>
      </c>
      <c r="C203" s="11">
        <v>92839607312</v>
      </c>
      <c r="D203" s="5" t="s">
        <v>474</v>
      </c>
      <c r="E203" s="8">
        <v>2631.88</v>
      </c>
      <c r="F203" s="5" t="s">
        <v>10</v>
      </c>
      <c r="G203" s="2" t="s">
        <v>23</v>
      </c>
    </row>
    <row r="204" spans="1:7" x14ac:dyDescent="0.2">
      <c r="A204" s="11">
        <v>188</v>
      </c>
      <c r="B204" s="5" t="s">
        <v>187</v>
      </c>
      <c r="C204" s="11">
        <v>22694857747</v>
      </c>
      <c r="D204" s="5" t="s">
        <v>239</v>
      </c>
      <c r="E204" s="8">
        <v>572.52</v>
      </c>
      <c r="F204" s="5" t="s">
        <v>10</v>
      </c>
      <c r="G204" s="2" t="s">
        <v>188</v>
      </c>
    </row>
    <row r="205" spans="1:7" x14ac:dyDescent="0.2">
      <c r="A205" s="11">
        <v>189</v>
      </c>
      <c r="B205" s="5" t="s">
        <v>970</v>
      </c>
      <c r="C205" s="12">
        <v>54655542852</v>
      </c>
      <c r="D205" s="5" t="s">
        <v>971</v>
      </c>
      <c r="E205" s="8">
        <v>75</v>
      </c>
      <c r="F205" s="5" t="s">
        <v>10</v>
      </c>
      <c r="G205" s="2" t="s">
        <v>243</v>
      </c>
    </row>
    <row r="206" spans="1:7" x14ac:dyDescent="0.2">
      <c r="A206" s="11">
        <v>190</v>
      </c>
      <c r="B206" s="5" t="s">
        <v>832</v>
      </c>
      <c r="C206" s="11">
        <v>21680443525</v>
      </c>
      <c r="D206" s="5" t="s">
        <v>833</v>
      </c>
      <c r="E206" s="8">
        <v>273.41000000000003</v>
      </c>
      <c r="F206" s="5" t="s">
        <v>10</v>
      </c>
      <c r="G206" s="2" t="s">
        <v>23</v>
      </c>
    </row>
    <row r="207" spans="1:7" x14ac:dyDescent="0.2">
      <c r="A207" s="11">
        <v>191</v>
      </c>
      <c r="B207" s="5" t="s">
        <v>976</v>
      </c>
      <c r="C207" s="11">
        <v>26211106548</v>
      </c>
      <c r="D207" s="5" t="s">
        <v>141</v>
      </c>
      <c r="E207" s="8">
        <v>255.29</v>
      </c>
      <c r="F207" s="5" t="s">
        <v>10</v>
      </c>
      <c r="G207" s="2" t="s">
        <v>112</v>
      </c>
    </row>
    <row r="208" spans="1:7" x14ac:dyDescent="0.2">
      <c r="A208" s="11">
        <v>192</v>
      </c>
      <c r="B208" s="5" t="s">
        <v>494</v>
      </c>
      <c r="C208" s="11">
        <v>54482179263</v>
      </c>
      <c r="D208" s="5" t="s">
        <v>495</v>
      </c>
      <c r="E208" s="8">
        <v>350.38</v>
      </c>
      <c r="F208" s="5" t="s">
        <v>10</v>
      </c>
      <c r="G208" s="2" t="s">
        <v>23</v>
      </c>
    </row>
    <row r="209" spans="1:7" x14ac:dyDescent="0.2">
      <c r="A209" s="11">
        <v>193</v>
      </c>
      <c r="B209" s="5" t="s">
        <v>499</v>
      </c>
      <c r="C209" s="11">
        <v>50467974870</v>
      </c>
      <c r="D209" s="5" t="s">
        <v>500</v>
      </c>
      <c r="E209" s="8">
        <f>295.5</f>
        <v>295.5</v>
      </c>
      <c r="F209" s="5" t="s">
        <v>10</v>
      </c>
      <c r="G209" s="2" t="s">
        <v>23</v>
      </c>
    </row>
    <row r="210" spans="1:7" x14ac:dyDescent="0.2">
      <c r="A210" s="11">
        <v>194</v>
      </c>
      <c r="B210" s="5" t="s">
        <v>501</v>
      </c>
      <c r="C210" s="11">
        <v>79506290597</v>
      </c>
      <c r="D210" s="5" t="s">
        <v>503</v>
      </c>
      <c r="E210" s="8">
        <v>80.14</v>
      </c>
      <c r="F210" s="5" t="s">
        <v>10</v>
      </c>
      <c r="G210" s="2" t="s">
        <v>502</v>
      </c>
    </row>
    <row r="211" spans="1:7" x14ac:dyDescent="0.2">
      <c r="A211" s="11">
        <v>195</v>
      </c>
      <c r="B211" s="5" t="s">
        <v>461</v>
      </c>
      <c r="C211" s="11">
        <v>83157399243</v>
      </c>
      <c r="D211" s="5" t="s">
        <v>462</v>
      </c>
      <c r="E211" s="8">
        <v>421.13</v>
      </c>
      <c r="F211" s="5" t="s">
        <v>10</v>
      </c>
      <c r="G211" s="2" t="s">
        <v>23</v>
      </c>
    </row>
    <row r="212" spans="1:7" x14ac:dyDescent="0.2">
      <c r="A212" s="11">
        <v>196</v>
      </c>
      <c r="B212" s="5" t="s">
        <v>507</v>
      </c>
      <c r="C212" s="11">
        <v>94505281348</v>
      </c>
      <c r="D212" s="5" t="s">
        <v>509</v>
      </c>
      <c r="E212" s="8">
        <v>641.05999999999995</v>
      </c>
      <c r="F212" s="5" t="s">
        <v>10</v>
      </c>
      <c r="G212" s="2" t="s">
        <v>287</v>
      </c>
    </row>
    <row r="213" spans="1:7" x14ac:dyDescent="0.2">
      <c r="A213" s="11">
        <v>197</v>
      </c>
      <c r="B213" s="5" t="s">
        <v>1059</v>
      </c>
      <c r="C213" s="11" t="s">
        <v>1060</v>
      </c>
      <c r="D213" s="5" t="s">
        <v>1061</v>
      </c>
      <c r="E213" s="8">
        <v>4812.5</v>
      </c>
      <c r="F213" s="5" t="s">
        <v>10</v>
      </c>
      <c r="G213" s="2" t="s">
        <v>23</v>
      </c>
    </row>
    <row r="214" spans="1:7" x14ac:dyDescent="0.2">
      <c r="A214" s="11">
        <v>198</v>
      </c>
      <c r="B214" s="5" t="s">
        <v>355</v>
      </c>
      <c r="C214" s="11">
        <v>25577810707</v>
      </c>
      <c r="D214" s="5" t="s">
        <v>356</v>
      </c>
      <c r="E214" s="8">
        <f>178.35+1073.69+1767.8</f>
        <v>3019.84</v>
      </c>
      <c r="F214" s="5" t="s">
        <v>10</v>
      </c>
      <c r="G214" s="2" t="s">
        <v>23</v>
      </c>
    </row>
    <row r="215" spans="1:7" x14ac:dyDescent="0.2">
      <c r="A215" s="11">
        <v>199</v>
      </c>
      <c r="B215" s="5" t="s">
        <v>828</v>
      </c>
      <c r="C215" s="11">
        <v>79247590666</v>
      </c>
      <c r="D215" s="5" t="s">
        <v>829</v>
      </c>
      <c r="E215" s="8">
        <v>568.42999999999995</v>
      </c>
      <c r="F215" s="5" t="s">
        <v>10</v>
      </c>
      <c r="G215" s="2" t="s">
        <v>287</v>
      </c>
    </row>
    <row r="216" spans="1:7" x14ac:dyDescent="0.2">
      <c r="A216" s="11">
        <v>200</v>
      </c>
      <c r="B216" s="5" t="s">
        <v>1062</v>
      </c>
      <c r="C216" s="11">
        <v>92535093725</v>
      </c>
      <c r="D216" s="5" t="s">
        <v>1063</v>
      </c>
      <c r="E216" s="8">
        <v>1084.79</v>
      </c>
      <c r="F216" s="5" t="s">
        <v>10</v>
      </c>
      <c r="G216" s="2" t="s">
        <v>23</v>
      </c>
    </row>
    <row r="217" spans="1:7" x14ac:dyDescent="0.2">
      <c r="A217" s="11">
        <v>201</v>
      </c>
      <c r="B217" s="5" t="s">
        <v>1064</v>
      </c>
      <c r="C217" s="11">
        <v>74634679484</v>
      </c>
      <c r="D217" s="5" t="s">
        <v>1065</v>
      </c>
      <c r="E217" s="8">
        <v>109</v>
      </c>
      <c r="F217" s="5" t="s">
        <v>10</v>
      </c>
      <c r="G217" s="2" t="s">
        <v>23</v>
      </c>
    </row>
    <row r="218" spans="1:7" x14ac:dyDescent="0.2">
      <c r="A218" s="11">
        <v>202</v>
      </c>
      <c r="B218" s="5" t="s">
        <v>1067</v>
      </c>
      <c r="C218" s="11">
        <v>30285469659</v>
      </c>
      <c r="D218" s="5" t="s">
        <v>1066</v>
      </c>
      <c r="E218" s="8">
        <v>165.9</v>
      </c>
      <c r="F218" s="5" t="s">
        <v>10</v>
      </c>
      <c r="G218" s="2" t="s">
        <v>330</v>
      </c>
    </row>
    <row r="219" spans="1:7" x14ac:dyDescent="0.2">
      <c r="A219" s="11">
        <v>203</v>
      </c>
      <c r="B219" s="5" t="s">
        <v>1068</v>
      </c>
      <c r="C219" s="11">
        <v>17071809140</v>
      </c>
      <c r="D219" s="5" t="s">
        <v>1069</v>
      </c>
      <c r="E219" s="8">
        <v>1887.5</v>
      </c>
      <c r="F219" s="5" t="s">
        <v>10</v>
      </c>
      <c r="G219" s="2" t="s">
        <v>23</v>
      </c>
    </row>
    <row r="220" spans="1:7" x14ac:dyDescent="0.2">
      <c r="A220" s="11">
        <v>204</v>
      </c>
      <c r="B220" s="5" t="s">
        <v>1070</v>
      </c>
      <c r="C220" s="11">
        <v>73294314024</v>
      </c>
      <c r="D220" s="5" t="s">
        <v>675</v>
      </c>
      <c r="E220" s="8">
        <v>181.01</v>
      </c>
      <c r="F220" s="5" t="s">
        <v>10</v>
      </c>
      <c r="G220" s="2" t="s">
        <v>662</v>
      </c>
    </row>
    <row r="221" spans="1:7" x14ac:dyDescent="0.2">
      <c r="A221" s="11">
        <v>205</v>
      </c>
      <c r="B221" s="5" t="s">
        <v>1071</v>
      </c>
      <c r="C221" s="11" t="s">
        <v>612</v>
      </c>
      <c r="D221" s="5" t="s">
        <v>611</v>
      </c>
      <c r="E221" s="8">
        <v>1121.49</v>
      </c>
      <c r="F221" s="5" t="s">
        <v>10</v>
      </c>
      <c r="G221" s="2" t="s">
        <v>23</v>
      </c>
    </row>
    <row r="222" spans="1:7" x14ac:dyDescent="0.2">
      <c r="A222" s="11">
        <v>206</v>
      </c>
      <c r="B222" s="5" t="s">
        <v>378</v>
      </c>
      <c r="C222" s="11">
        <v>32586594426</v>
      </c>
      <c r="D222" s="5" t="s">
        <v>379</v>
      </c>
      <c r="E222" s="8">
        <v>2006.25</v>
      </c>
      <c r="F222" s="5" t="s">
        <v>10</v>
      </c>
      <c r="G222" s="2" t="s">
        <v>23</v>
      </c>
    </row>
    <row r="223" spans="1:7" x14ac:dyDescent="0.2">
      <c r="A223" s="11">
        <v>207</v>
      </c>
      <c r="B223" s="5" t="s">
        <v>1072</v>
      </c>
      <c r="C223" s="11">
        <v>62216735860</v>
      </c>
      <c r="D223" s="5" t="s">
        <v>1073</v>
      </c>
      <c r="E223" s="8">
        <v>1550</v>
      </c>
      <c r="F223" s="5" t="s">
        <v>10</v>
      </c>
      <c r="G223" s="2" t="s">
        <v>23</v>
      </c>
    </row>
    <row r="224" spans="1:7" x14ac:dyDescent="0.2">
      <c r="A224" s="11">
        <v>208</v>
      </c>
      <c r="B224" s="5" t="s">
        <v>1074</v>
      </c>
      <c r="C224" s="11">
        <v>18458216879</v>
      </c>
      <c r="D224" s="5" t="s">
        <v>1075</v>
      </c>
      <c r="E224" s="8">
        <v>3320.05</v>
      </c>
      <c r="F224" s="5" t="s">
        <v>10</v>
      </c>
      <c r="G224" s="2" t="s">
        <v>1076</v>
      </c>
    </row>
    <row r="225" spans="1:7" x14ac:dyDescent="0.2">
      <c r="A225" s="11">
        <v>209</v>
      </c>
      <c r="B225" s="5" t="s">
        <v>1077</v>
      </c>
      <c r="C225" s="11">
        <v>90704508085</v>
      </c>
      <c r="D225" s="5" t="s">
        <v>1078</v>
      </c>
      <c r="E225" s="8">
        <v>200</v>
      </c>
      <c r="F225" s="5" t="s">
        <v>10</v>
      </c>
      <c r="G225" s="2" t="s">
        <v>505</v>
      </c>
    </row>
    <row r="226" spans="1:7" x14ac:dyDescent="0.2">
      <c r="A226" s="11">
        <v>210</v>
      </c>
      <c r="B226" s="5" t="s">
        <v>483</v>
      </c>
      <c r="C226" s="12" t="s">
        <v>485</v>
      </c>
      <c r="D226" s="5" t="s">
        <v>484</v>
      </c>
      <c r="E226" s="8">
        <v>1528.85</v>
      </c>
      <c r="F226" s="5" t="s">
        <v>10</v>
      </c>
      <c r="G226" s="2" t="s">
        <v>481</v>
      </c>
    </row>
    <row r="227" spans="1:7" x14ac:dyDescent="0.2">
      <c r="A227" s="11">
        <v>211</v>
      </c>
      <c r="B227" s="5" t="s">
        <v>526</v>
      </c>
      <c r="C227" s="11">
        <v>13534526502</v>
      </c>
      <c r="D227" s="5" t="s">
        <v>527</v>
      </c>
      <c r="E227" s="8">
        <v>2561.33</v>
      </c>
      <c r="F227" s="5" t="s">
        <v>10</v>
      </c>
      <c r="G227" s="2" t="s">
        <v>23</v>
      </c>
    </row>
    <row r="228" spans="1:7" x14ac:dyDescent="0.2">
      <c r="A228" s="11">
        <v>212</v>
      </c>
      <c r="B228" s="5" t="s">
        <v>726</v>
      </c>
      <c r="C228" s="11">
        <v>34761413470</v>
      </c>
      <c r="D228" s="5" t="s">
        <v>727</v>
      </c>
      <c r="E228" s="8">
        <v>1902.5</v>
      </c>
      <c r="F228" s="5" t="s">
        <v>10</v>
      </c>
      <c r="G228" s="2" t="s">
        <v>23</v>
      </c>
    </row>
    <row r="229" spans="1:7" x14ac:dyDescent="0.2">
      <c r="A229" s="11">
        <v>213</v>
      </c>
      <c r="B229" s="5" t="s">
        <v>1079</v>
      </c>
      <c r="C229" s="11">
        <v>75609627746</v>
      </c>
      <c r="D229" s="5" t="s">
        <v>1080</v>
      </c>
      <c r="E229" s="8">
        <v>710.5</v>
      </c>
      <c r="F229" s="5" t="s">
        <v>10</v>
      </c>
      <c r="G229" s="2" t="s">
        <v>147</v>
      </c>
    </row>
    <row r="230" spans="1:7" x14ac:dyDescent="0.2">
      <c r="A230" s="11">
        <v>214</v>
      </c>
      <c r="B230" s="5" t="s">
        <v>557</v>
      </c>
      <c r="C230" s="11">
        <v>75725588375</v>
      </c>
      <c r="D230" s="5" t="s">
        <v>558</v>
      </c>
      <c r="E230" s="8">
        <v>679.25</v>
      </c>
      <c r="F230" s="5" t="s">
        <v>10</v>
      </c>
      <c r="G230" s="2" t="s">
        <v>23</v>
      </c>
    </row>
    <row r="231" spans="1:7" x14ac:dyDescent="0.2">
      <c r="A231" s="11">
        <v>215</v>
      </c>
      <c r="B231" s="5" t="s">
        <v>150</v>
      </c>
      <c r="C231" s="11">
        <v>19422090987</v>
      </c>
      <c r="D231" s="5" t="s">
        <v>210</v>
      </c>
      <c r="E231" s="8">
        <v>1359</v>
      </c>
      <c r="F231" s="5" t="s">
        <v>10</v>
      </c>
      <c r="G231" s="2" t="s">
        <v>23</v>
      </c>
    </row>
    <row r="232" spans="1:7" x14ac:dyDescent="0.2">
      <c r="A232" s="11">
        <v>216</v>
      </c>
      <c r="B232" s="5" t="s">
        <v>1081</v>
      </c>
      <c r="C232" s="11">
        <v>72026633009</v>
      </c>
      <c r="D232" s="5" t="s">
        <v>1082</v>
      </c>
      <c r="E232" s="8">
        <v>1928</v>
      </c>
      <c r="F232" s="5" t="s">
        <v>10</v>
      </c>
      <c r="G232" s="2" t="s">
        <v>23</v>
      </c>
    </row>
    <row r="233" spans="1:7" x14ac:dyDescent="0.2">
      <c r="A233" s="11">
        <v>217</v>
      </c>
      <c r="B233" s="5" t="s">
        <v>1083</v>
      </c>
      <c r="C233" s="11" t="s">
        <v>1084</v>
      </c>
      <c r="D233" s="5" t="s">
        <v>1085</v>
      </c>
      <c r="E233" s="8">
        <v>414.59</v>
      </c>
      <c r="F233" s="5" t="s">
        <v>10</v>
      </c>
      <c r="G233" s="2" t="s">
        <v>23</v>
      </c>
    </row>
    <row r="234" spans="1:7" x14ac:dyDescent="0.2">
      <c r="A234" s="11">
        <v>218</v>
      </c>
      <c r="B234" s="5" t="s">
        <v>1086</v>
      </c>
      <c r="C234" s="11" t="s">
        <v>1087</v>
      </c>
      <c r="D234" s="5" t="s">
        <v>1088</v>
      </c>
      <c r="E234" s="8">
        <v>238.4</v>
      </c>
      <c r="F234" s="5" t="s">
        <v>10</v>
      </c>
      <c r="G234" s="2" t="s">
        <v>23</v>
      </c>
    </row>
    <row r="235" spans="1:7" x14ac:dyDescent="0.2">
      <c r="A235" s="11">
        <v>219</v>
      </c>
      <c r="B235" s="5" t="s">
        <v>1089</v>
      </c>
      <c r="C235" s="11">
        <v>43150843424</v>
      </c>
      <c r="D235" s="5" t="s">
        <v>1090</v>
      </c>
      <c r="E235" s="8">
        <v>233.75</v>
      </c>
      <c r="F235" s="5" t="s">
        <v>10</v>
      </c>
      <c r="G235" s="2" t="s">
        <v>505</v>
      </c>
    </row>
    <row r="236" spans="1:7" x14ac:dyDescent="0.2">
      <c r="A236" s="11">
        <v>220</v>
      </c>
      <c r="B236" s="5" t="s">
        <v>1091</v>
      </c>
      <c r="C236" s="11" t="s">
        <v>1093</v>
      </c>
      <c r="D236" s="5" t="s">
        <v>1092</v>
      </c>
      <c r="E236" s="8">
        <v>345</v>
      </c>
      <c r="F236" s="5" t="s">
        <v>10</v>
      </c>
      <c r="G236" s="2" t="s">
        <v>23</v>
      </c>
    </row>
    <row r="237" spans="1:7" x14ac:dyDescent="0.2">
      <c r="A237" s="11">
        <v>221</v>
      </c>
      <c r="B237" s="5" t="s">
        <v>685</v>
      </c>
      <c r="C237" s="11">
        <v>78424785565</v>
      </c>
      <c r="D237" s="5" t="s">
        <v>686</v>
      </c>
      <c r="E237" s="8">
        <v>2148.29</v>
      </c>
      <c r="F237" s="5" t="s">
        <v>10</v>
      </c>
      <c r="G237" s="2" t="s">
        <v>23</v>
      </c>
    </row>
    <row r="238" spans="1:7" x14ac:dyDescent="0.2">
      <c r="A238" s="11">
        <v>222</v>
      </c>
      <c r="B238" s="5" t="s">
        <v>555</v>
      </c>
      <c r="C238" s="11">
        <v>56733014701</v>
      </c>
      <c r="D238" s="5" t="s">
        <v>556</v>
      </c>
      <c r="E238" s="8">
        <v>1899</v>
      </c>
      <c r="F238" s="5" t="s">
        <v>10</v>
      </c>
      <c r="G238" s="2" t="s">
        <v>23</v>
      </c>
    </row>
    <row r="239" spans="1:7" x14ac:dyDescent="0.2">
      <c r="A239" s="11">
        <v>223</v>
      </c>
      <c r="B239" s="5" t="s">
        <v>1094</v>
      </c>
      <c r="C239" s="11">
        <v>12912094439</v>
      </c>
      <c r="D239" s="5" t="s">
        <v>1095</v>
      </c>
      <c r="E239" s="8">
        <v>1342.69</v>
      </c>
      <c r="F239" s="5" t="s">
        <v>10</v>
      </c>
      <c r="G239" s="2" t="s">
        <v>1096</v>
      </c>
    </row>
    <row r="240" spans="1:7" x14ac:dyDescent="0.2">
      <c r="A240" s="11">
        <v>224</v>
      </c>
      <c r="B240" s="5" t="s">
        <v>571</v>
      </c>
      <c r="C240" s="11">
        <v>75202805533</v>
      </c>
      <c r="D240" s="5" t="s">
        <v>588</v>
      </c>
      <c r="E240" s="8">
        <v>1365</v>
      </c>
      <c r="F240" s="5" t="s">
        <v>10</v>
      </c>
      <c r="G240" s="2" t="s">
        <v>23</v>
      </c>
    </row>
    <row r="241" spans="1:7" x14ac:dyDescent="0.2">
      <c r="A241" s="11">
        <v>225</v>
      </c>
      <c r="B241" s="5" t="s">
        <v>835</v>
      </c>
      <c r="C241" s="11">
        <v>73927927880</v>
      </c>
      <c r="D241" s="5" t="s">
        <v>836</v>
      </c>
      <c r="E241" s="8">
        <v>16387.5</v>
      </c>
      <c r="F241" s="5" t="s">
        <v>10</v>
      </c>
      <c r="G241" s="2" t="s">
        <v>287</v>
      </c>
    </row>
    <row r="242" spans="1:7" x14ac:dyDescent="0.2">
      <c r="A242" s="11">
        <v>226</v>
      </c>
      <c r="B242" s="5" t="s">
        <v>593</v>
      </c>
      <c r="C242" s="11">
        <v>41261796409</v>
      </c>
      <c r="D242" s="5" t="s">
        <v>592</v>
      </c>
      <c r="E242" s="8">
        <v>1025</v>
      </c>
      <c r="F242" s="5" t="s">
        <v>10</v>
      </c>
      <c r="G242" s="2" t="s">
        <v>23</v>
      </c>
    </row>
    <row r="243" spans="1:7" x14ac:dyDescent="0.2">
      <c r="A243" s="11">
        <v>227</v>
      </c>
      <c r="B243" s="5" t="s">
        <v>531</v>
      </c>
      <c r="C243" s="11">
        <v>70273797250</v>
      </c>
      <c r="D243" s="5" t="s">
        <v>532</v>
      </c>
      <c r="E243" s="8">
        <v>53.95</v>
      </c>
      <c r="F243" s="5" t="s">
        <v>10</v>
      </c>
      <c r="G243" s="2" t="s">
        <v>481</v>
      </c>
    </row>
    <row r="244" spans="1:7" x14ac:dyDescent="0.2">
      <c r="A244" s="11">
        <v>228</v>
      </c>
      <c r="B244" s="5" t="s">
        <v>1097</v>
      </c>
      <c r="C244" s="11">
        <v>58674303975</v>
      </c>
      <c r="D244" s="5" t="s">
        <v>1098</v>
      </c>
      <c r="E244" s="8">
        <v>772.5</v>
      </c>
      <c r="F244" s="5" t="s">
        <v>10</v>
      </c>
      <c r="G244" s="2" t="s">
        <v>147</v>
      </c>
    </row>
    <row r="245" spans="1:7" x14ac:dyDescent="0.2">
      <c r="A245" s="11">
        <v>229</v>
      </c>
      <c r="B245" s="5" t="s">
        <v>1099</v>
      </c>
      <c r="C245" s="11">
        <v>47266951158</v>
      </c>
      <c r="D245" s="5" t="s">
        <v>1100</v>
      </c>
      <c r="E245" s="8">
        <v>30.68</v>
      </c>
      <c r="F245" s="5" t="s">
        <v>10</v>
      </c>
      <c r="G245" s="2" t="s">
        <v>23</v>
      </c>
    </row>
    <row r="246" spans="1:7" x14ac:dyDescent="0.2">
      <c r="A246" s="11">
        <v>230</v>
      </c>
      <c r="B246" s="5" t="s">
        <v>255</v>
      </c>
      <c r="C246" s="11">
        <v>62964458165</v>
      </c>
      <c r="D246" s="5" t="s">
        <v>256</v>
      </c>
      <c r="E246" s="8">
        <v>494.43</v>
      </c>
      <c r="F246" s="5" t="s">
        <v>10</v>
      </c>
      <c r="G246" s="2" t="s">
        <v>23</v>
      </c>
    </row>
    <row r="247" spans="1:7" x14ac:dyDescent="0.2">
      <c r="A247" s="11">
        <v>231</v>
      </c>
      <c r="B247" s="5" t="s">
        <v>1101</v>
      </c>
      <c r="C247" s="11">
        <v>70250179767</v>
      </c>
      <c r="D247" s="5" t="s">
        <v>1102</v>
      </c>
      <c r="E247" s="8">
        <v>148.4</v>
      </c>
      <c r="F247" s="5" t="s">
        <v>10</v>
      </c>
      <c r="G247" s="2" t="s">
        <v>23</v>
      </c>
    </row>
    <row r="248" spans="1:7" x14ac:dyDescent="0.2">
      <c r="A248" s="11">
        <v>232</v>
      </c>
      <c r="B248" s="5" t="s">
        <v>1103</v>
      </c>
      <c r="C248" s="11">
        <v>82298562620</v>
      </c>
      <c r="D248" s="5" t="s">
        <v>1106</v>
      </c>
      <c r="E248" s="8">
        <v>1057.07</v>
      </c>
      <c r="F248" s="5" t="s">
        <v>10</v>
      </c>
      <c r="G248" s="2" t="s">
        <v>23</v>
      </c>
    </row>
    <row r="249" spans="1:7" x14ac:dyDescent="0.2">
      <c r="A249" s="11">
        <v>233</v>
      </c>
      <c r="B249" s="5" t="s">
        <v>1104</v>
      </c>
      <c r="C249" s="11">
        <v>89964003589</v>
      </c>
      <c r="D249" s="5" t="s">
        <v>1105</v>
      </c>
      <c r="E249" s="8">
        <v>399.38</v>
      </c>
      <c r="F249" s="5" t="s">
        <v>10</v>
      </c>
      <c r="G249" s="2" t="s">
        <v>23</v>
      </c>
    </row>
    <row r="250" spans="1:7" x14ac:dyDescent="0.2">
      <c r="A250" s="11">
        <v>234</v>
      </c>
      <c r="B250" s="5" t="s">
        <v>1107</v>
      </c>
      <c r="C250" s="11">
        <v>33890755814</v>
      </c>
      <c r="D250" s="5" t="s">
        <v>1108</v>
      </c>
      <c r="E250" s="8">
        <v>87.5</v>
      </c>
      <c r="F250" s="5" t="s">
        <v>10</v>
      </c>
      <c r="G250" s="2" t="s">
        <v>23</v>
      </c>
    </row>
    <row r="251" spans="1:7" x14ac:dyDescent="0.2">
      <c r="A251" s="11">
        <v>235</v>
      </c>
      <c r="B251" s="5" t="s">
        <v>719</v>
      </c>
      <c r="C251" s="11">
        <v>88470929840</v>
      </c>
      <c r="D251" s="5" t="s">
        <v>720</v>
      </c>
      <c r="E251" s="8">
        <v>48.75</v>
      </c>
      <c r="F251" s="5" t="s">
        <v>10</v>
      </c>
      <c r="G251" s="2" t="s">
        <v>23</v>
      </c>
    </row>
    <row r="252" spans="1:7" x14ac:dyDescent="0.2">
      <c r="A252" s="11">
        <v>236</v>
      </c>
      <c r="B252" s="5" t="s">
        <v>784</v>
      </c>
      <c r="C252" s="12" t="s">
        <v>786</v>
      </c>
      <c r="D252" s="5" t="s">
        <v>785</v>
      </c>
      <c r="E252" s="8">
        <v>102.28</v>
      </c>
      <c r="F252" s="5" t="s">
        <v>10</v>
      </c>
      <c r="G252" s="2" t="s">
        <v>763</v>
      </c>
    </row>
    <row r="253" spans="1:7" x14ac:dyDescent="0.2">
      <c r="A253" s="11">
        <v>237</v>
      </c>
      <c r="B253" s="5" t="s">
        <v>1109</v>
      </c>
      <c r="C253" s="11">
        <v>44448417567</v>
      </c>
      <c r="D253" s="5" t="s">
        <v>1110</v>
      </c>
      <c r="E253" s="8">
        <v>575.22</v>
      </c>
      <c r="F253" s="5" t="s">
        <v>10</v>
      </c>
      <c r="G253" s="2" t="s">
        <v>23</v>
      </c>
    </row>
    <row r="254" spans="1:7" x14ac:dyDescent="0.2">
      <c r="A254" s="11">
        <v>238</v>
      </c>
      <c r="B254" s="5" t="s">
        <v>1111</v>
      </c>
      <c r="C254" s="11">
        <v>39135989747</v>
      </c>
      <c r="D254" s="5" t="s">
        <v>1112</v>
      </c>
      <c r="E254" s="8">
        <v>14.81</v>
      </c>
      <c r="F254" s="5" t="s">
        <v>10</v>
      </c>
      <c r="G254" s="2" t="s">
        <v>637</v>
      </c>
    </row>
    <row r="255" spans="1:7" x14ac:dyDescent="0.2">
      <c r="A255" s="11">
        <v>239</v>
      </c>
      <c r="B255" s="5" t="s">
        <v>1113</v>
      </c>
      <c r="C255" s="11">
        <v>47865426584</v>
      </c>
      <c r="D255" s="5" t="s">
        <v>1114</v>
      </c>
      <c r="E255" s="8">
        <v>13.75</v>
      </c>
      <c r="F255" s="5" t="s">
        <v>10</v>
      </c>
      <c r="G255" s="2" t="s">
        <v>23</v>
      </c>
    </row>
    <row r="256" spans="1:7" x14ac:dyDescent="0.2">
      <c r="A256" s="11">
        <v>240</v>
      </c>
      <c r="B256" s="5" t="s">
        <v>1115</v>
      </c>
      <c r="C256" s="11">
        <v>79824224893</v>
      </c>
      <c r="D256" s="5" t="s">
        <v>1116</v>
      </c>
      <c r="E256" s="8">
        <v>261.8</v>
      </c>
      <c r="F256" s="5" t="s">
        <v>10</v>
      </c>
      <c r="G256" s="2" t="s">
        <v>23</v>
      </c>
    </row>
    <row r="257" spans="1:7" x14ac:dyDescent="0.2">
      <c r="A257" s="11">
        <v>241</v>
      </c>
      <c r="B257" s="5" t="s">
        <v>1117</v>
      </c>
      <c r="C257" s="11">
        <v>64634216475</v>
      </c>
      <c r="D257" s="5" t="s">
        <v>1118</v>
      </c>
      <c r="E257" s="8">
        <v>62.51</v>
      </c>
      <c r="F257" s="5" t="s">
        <v>10</v>
      </c>
      <c r="G257" s="2" t="s">
        <v>23</v>
      </c>
    </row>
    <row r="258" spans="1:7" x14ac:dyDescent="0.2">
      <c r="A258" s="11">
        <v>242</v>
      </c>
      <c r="B258" s="5" t="s">
        <v>1119</v>
      </c>
      <c r="C258" s="11">
        <v>48354295528</v>
      </c>
      <c r="D258" s="5" t="s">
        <v>1120</v>
      </c>
      <c r="E258" s="8">
        <v>802.5</v>
      </c>
      <c r="F258" s="5" t="s">
        <v>10</v>
      </c>
      <c r="G258" s="2" t="s">
        <v>23</v>
      </c>
    </row>
    <row r="259" spans="1:7" x14ac:dyDescent="0.2">
      <c r="A259" s="11">
        <v>243</v>
      </c>
      <c r="B259" s="5" t="s">
        <v>1121</v>
      </c>
      <c r="C259" s="11">
        <v>86742905038</v>
      </c>
      <c r="D259" s="5" t="s">
        <v>1122</v>
      </c>
      <c r="E259" s="8">
        <v>402.5</v>
      </c>
      <c r="F259" s="5" t="s">
        <v>10</v>
      </c>
      <c r="G259" s="2" t="s">
        <v>23</v>
      </c>
    </row>
    <row r="260" spans="1:7" x14ac:dyDescent="0.2">
      <c r="A260" s="11">
        <v>244</v>
      </c>
      <c r="B260" s="5" t="s">
        <v>1123</v>
      </c>
      <c r="C260" s="11">
        <v>87680972455</v>
      </c>
      <c r="D260" s="5" t="s">
        <v>1124</v>
      </c>
      <c r="E260" s="8">
        <v>126.18</v>
      </c>
      <c r="F260" s="5" t="s">
        <v>10</v>
      </c>
      <c r="G260" s="2" t="s">
        <v>23</v>
      </c>
    </row>
    <row r="261" spans="1:7" x14ac:dyDescent="0.2">
      <c r="A261" s="11">
        <v>245</v>
      </c>
      <c r="B261" s="5" t="s">
        <v>1125</v>
      </c>
      <c r="C261" s="11">
        <v>74056056752</v>
      </c>
      <c r="D261" s="5" t="s">
        <v>776</v>
      </c>
      <c r="E261" s="8">
        <v>27.09</v>
      </c>
      <c r="F261" s="5" t="s">
        <v>10</v>
      </c>
      <c r="G261" s="2" t="s">
        <v>23</v>
      </c>
    </row>
    <row r="262" spans="1:7" x14ac:dyDescent="0.2">
      <c r="A262" s="11">
        <v>246</v>
      </c>
      <c r="B262" s="5" t="s">
        <v>1127</v>
      </c>
      <c r="C262" s="11" t="s">
        <v>1128</v>
      </c>
      <c r="D262" s="5" t="s">
        <v>1129</v>
      </c>
      <c r="E262" s="8">
        <v>213.76</v>
      </c>
      <c r="F262" s="5" t="s">
        <v>10</v>
      </c>
      <c r="G262" s="2" t="s">
        <v>23</v>
      </c>
    </row>
    <row r="263" spans="1:7" x14ac:dyDescent="0.2">
      <c r="A263" s="11">
        <v>247</v>
      </c>
      <c r="B263" s="5" t="s">
        <v>1126</v>
      </c>
      <c r="C263" s="11" t="s">
        <v>1130</v>
      </c>
      <c r="D263" s="5" t="s">
        <v>1131</v>
      </c>
      <c r="E263" s="8">
        <v>18.600000000000001</v>
      </c>
      <c r="F263" s="5" t="s">
        <v>10</v>
      </c>
      <c r="G263" s="2" t="s">
        <v>23</v>
      </c>
    </row>
    <row r="264" spans="1:7" x14ac:dyDescent="0.2">
      <c r="A264" s="11">
        <v>248</v>
      </c>
      <c r="B264" s="5" t="s">
        <v>585</v>
      </c>
      <c r="C264" s="11">
        <v>25706416813</v>
      </c>
      <c r="D264" s="5" t="s">
        <v>761</v>
      </c>
      <c r="E264" s="8">
        <v>213.75</v>
      </c>
      <c r="F264" s="5" t="s">
        <v>10</v>
      </c>
      <c r="G264" s="2" t="s">
        <v>23</v>
      </c>
    </row>
    <row r="265" spans="1:7" ht="5.25" customHeight="1" x14ac:dyDescent="0.2">
      <c r="A265" s="11"/>
      <c r="B265" s="5"/>
      <c r="C265" s="11"/>
      <c r="D265" s="5"/>
      <c r="E265" s="8"/>
      <c r="F265" s="5"/>
      <c r="G265" s="2"/>
    </row>
    <row r="267" spans="1:7" x14ac:dyDescent="0.2">
      <c r="D267" s="51" t="s">
        <v>1225</v>
      </c>
      <c r="E267" s="52">
        <f>SUM(E11:E265)</f>
        <v>2444338.7999999989</v>
      </c>
    </row>
    <row r="273" spans="3:7" x14ac:dyDescent="0.2">
      <c r="D273" s="13"/>
    </row>
    <row r="274" spans="3:7" x14ac:dyDescent="0.2">
      <c r="C274" s="22"/>
    </row>
    <row r="275" spans="3:7" x14ac:dyDescent="0.2">
      <c r="D275" s="13"/>
      <c r="G275" s="13"/>
    </row>
  </sheetData>
  <sheetProtection algorithmName="SHA-512" hashValue="6W0Fgi+Qp8C41Ime1+qcx+2bREwhohV9QTX4ubGCIl7+faWijs0u/ZYjsYv05KNKiJidAirO1ujZnSN/ZFTNzQ==" saltValue="0tBrO+WWifSgAuweVzP9dA==" spinCount="100000" sheet="1" objects="1" scenarios="1" selectLockedCells="1" autoFilter="0" selectUnlockedCells="1"/>
  <autoFilter ref="A10:G264" xr:uid="{1950F4FB-0261-43D0-828A-F0FFB9B4258F}"/>
  <mergeCells count="28">
    <mergeCell ref="A136:A137"/>
    <mergeCell ref="B136:B137"/>
    <mergeCell ref="C136:C137"/>
    <mergeCell ref="D136:D137"/>
    <mergeCell ref="F136:F137"/>
    <mergeCell ref="A89:A90"/>
    <mergeCell ref="B89:B90"/>
    <mergeCell ref="C89:C90"/>
    <mergeCell ref="D89:D90"/>
    <mergeCell ref="F89:F90"/>
    <mergeCell ref="A36:A38"/>
    <mergeCell ref="B36:B38"/>
    <mergeCell ref="C36:C38"/>
    <mergeCell ref="D36:D38"/>
    <mergeCell ref="F36:F38"/>
    <mergeCell ref="A53:A54"/>
    <mergeCell ref="B53:B54"/>
    <mergeCell ref="C53:C54"/>
    <mergeCell ref="D53:D54"/>
    <mergeCell ref="F53:F54"/>
    <mergeCell ref="A6:B6"/>
    <mergeCell ref="A7:B7"/>
    <mergeCell ref="C8:F8"/>
    <mergeCell ref="A34:A35"/>
    <mergeCell ref="B34:B35"/>
    <mergeCell ref="C34:C35"/>
    <mergeCell ref="D34:D35"/>
    <mergeCell ref="F34:F3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755A6-3EEF-49E0-A6BE-05AF580CF27A}">
  <sheetPr codeName="List5"/>
  <dimension ref="A5:L221"/>
  <sheetViews>
    <sheetView workbookViewId="0">
      <selection activeCell="D219" sqref="D219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74" t="s">
        <v>7</v>
      </c>
      <c r="B6" s="74"/>
    </row>
    <row r="7" spans="1:7" x14ac:dyDescent="0.2">
      <c r="A7" s="74" t="s">
        <v>8</v>
      </c>
      <c r="B7" s="74"/>
    </row>
    <row r="8" spans="1:7" x14ac:dyDescent="0.2">
      <c r="A8" s="25"/>
      <c r="B8" s="6"/>
      <c r="C8" s="75" t="s">
        <v>1132</v>
      </c>
      <c r="D8" s="75"/>
      <c r="E8" s="75"/>
      <c r="F8" s="75"/>
    </row>
    <row r="10" spans="1:7" x14ac:dyDescent="0.2">
      <c r="A10" s="3" t="s">
        <v>1</v>
      </c>
      <c r="B10" s="4" t="s">
        <v>0</v>
      </c>
      <c r="C10" s="3" t="s">
        <v>42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11</v>
      </c>
      <c r="C11" s="11">
        <v>23780250353</v>
      </c>
      <c r="D11" s="5" t="s">
        <v>27</v>
      </c>
      <c r="E11" s="8">
        <f>1528.28+525.7</f>
        <v>2053.98</v>
      </c>
      <c r="F11" s="5" t="s">
        <v>10</v>
      </c>
      <c r="G11" s="2" t="s">
        <v>12</v>
      </c>
    </row>
    <row r="12" spans="1:7" x14ac:dyDescent="0.2">
      <c r="A12" s="11">
        <v>2</v>
      </c>
      <c r="B12" s="5" t="s">
        <v>13</v>
      </c>
      <c r="C12" s="11">
        <v>90275854576</v>
      </c>
      <c r="D12" s="5" t="s">
        <v>28</v>
      </c>
      <c r="E12" s="8">
        <v>329.56</v>
      </c>
      <c r="F12" s="5" t="s">
        <v>10</v>
      </c>
      <c r="G12" s="2" t="s">
        <v>12</v>
      </c>
    </row>
    <row r="13" spans="1:7" x14ac:dyDescent="0.2">
      <c r="A13" s="11">
        <v>3</v>
      </c>
      <c r="B13" s="5" t="s">
        <v>14</v>
      </c>
      <c r="C13" s="11">
        <v>87939104217</v>
      </c>
      <c r="D13" s="5" t="s">
        <v>15</v>
      </c>
      <c r="E13" s="8">
        <v>26.84</v>
      </c>
      <c r="F13" s="5" t="s">
        <v>10</v>
      </c>
      <c r="G13" s="2" t="s">
        <v>16</v>
      </c>
    </row>
    <row r="14" spans="1:7" x14ac:dyDescent="0.2">
      <c r="A14" s="11">
        <v>4</v>
      </c>
      <c r="B14" s="5" t="s">
        <v>17</v>
      </c>
      <c r="C14" s="11" t="s">
        <v>17</v>
      </c>
      <c r="D14" s="5" t="s">
        <v>17</v>
      </c>
      <c r="E14" s="8">
        <f>1120+560</f>
        <v>1680</v>
      </c>
      <c r="F14" s="5" t="s">
        <v>10</v>
      </c>
      <c r="G14" s="2" t="s">
        <v>18</v>
      </c>
    </row>
    <row r="15" spans="1:7" ht="14.25" customHeight="1" x14ac:dyDescent="0.2">
      <c r="A15" s="11">
        <v>5</v>
      </c>
      <c r="B15" s="5" t="s">
        <v>19</v>
      </c>
      <c r="C15" s="12" t="s">
        <v>30</v>
      </c>
      <c r="D15" s="9" t="s">
        <v>31</v>
      </c>
      <c r="E15" s="8">
        <v>5263.04</v>
      </c>
      <c r="F15" s="5" t="s">
        <v>10</v>
      </c>
      <c r="G15" s="2" t="s">
        <v>20</v>
      </c>
    </row>
    <row r="16" spans="1:7" x14ac:dyDescent="0.2">
      <c r="A16" s="11">
        <v>6</v>
      </c>
      <c r="B16" s="5" t="s">
        <v>22</v>
      </c>
      <c r="C16" s="11">
        <v>85167032587</v>
      </c>
      <c r="D16" s="5" t="s">
        <v>29</v>
      </c>
      <c r="E16" s="8">
        <v>527.30999999999995</v>
      </c>
      <c r="F16" s="5" t="s">
        <v>10</v>
      </c>
      <c r="G16" s="2" t="s">
        <v>21</v>
      </c>
    </row>
    <row r="17" spans="1:8" x14ac:dyDescent="0.2">
      <c r="A17" s="11">
        <v>7</v>
      </c>
      <c r="B17" s="5" t="s">
        <v>180</v>
      </c>
      <c r="C17" s="11">
        <v>87311810356</v>
      </c>
      <c r="D17" s="5" t="s">
        <v>229</v>
      </c>
      <c r="E17" s="8">
        <v>267.77</v>
      </c>
      <c r="F17" s="5" t="s">
        <v>10</v>
      </c>
      <c r="G17" s="2" t="s">
        <v>179</v>
      </c>
    </row>
    <row r="18" spans="1:8" x14ac:dyDescent="0.2">
      <c r="A18" s="11">
        <v>8</v>
      </c>
      <c r="B18" s="5" t="s">
        <v>688</v>
      </c>
      <c r="C18" s="11">
        <v>44040649076</v>
      </c>
      <c r="D18" s="5" t="s">
        <v>689</v>
      </c>
      <c r="E18" s="8">
        <v>31750</v>
      </c>
      <c r="F18" s="5" t="s">
        <v>10</v>
      </c>
      <c r="G18" s="2" t="s">
        <v>23</v>
      </c>
    </row>
    <row r="19" spans="1:8" x14ac:dyDescent="0.2">
      <c r="A19" s="11">
        <v>9</v>
      </c>
      <c r="B19" s="5" t="s">
        <v>682</v>
      </c>
      <c r="C19" s="11" t="s">
        <v>683</v>
      </c>
      <c r="D19" s="5" t="s">
        <v>684</v>
      </c>
      <c r="E19" s="8">
        <v>549</v>
      </c>
      <c r="F19" s="5" t="s">
        <v>10</v>
      </c>
      <c r="G19" s="2" t="s">
        <v>23</v>
      </c>
    </row>
    <row r="20" spans="1:8" x14ac:dyDescent="0.2">
      <c r="A20" s="11">
        <v>10</v>
      </c>
      <c r="B20" s="5" t="s">
        <v>17</v>
      </c>
      <c r="C20" s="11" t="s">
        <v>17</v>
      </c>
      <c r="D20" s="5" t="s">
        <v>17</v>
      </c>
      <c r="E20" s="8">
        <f>1106204.87+13.27+250.02</f>
        <v>1106468.1600000001</v>
      </c>
      <c r="F20" s="5" t="s">
        <v>10</v>
      </c>
      <c r="G20" s="2" t="s">
        <v>34</v>
      </c>
    </row>
    <row r="21" spans="1:8" ht="15" customHeight="1" x14ac:dyDescent="0.2">
      <c r="A21" s="11">
        <v>11</v>
      </c>
      <c r="B21" s="5" t="s">
        <v>349</v>
      </c>
      <c r="C21" s="11">
        <v>31022857153</v>
      </c>
      <c r="D21" s="5" t="s">
        <v>351</v>
      </c>
      <c r="E21" s="8">
        <v>5139.83</v>
      </c>
      <c r="F21" s="5" t="s">
        <v>10</v>
      </c>
      <c r="G21" s="2" t="s">
        <v>350</v>
      </c>
    </row>
    <row r="22" spans="1:8" x14ac:dyDescent="0.2">
      <c r="A22" s="11">
        <v>12</v>
      </c>
      <c r="B22" s="5" t="s">
        <v>579</v>
      </c>
      <c r="C22" s="11">
        <v>54527841697</v>
      </c>
      <c r="D22" s="5" t="s">
        <v>602</v>
      </c>
      <c r="E22" s="8">
        <v>1835.97</v>
      </c>
      <c r="F22" s="5" t="s">
        <v>10</v>
      </c>
      <c r="G22" s="2" t="s">
        <v>23</v>
      </c>
    </row>
    <row r="23" spans="1:8" x14ac:dyDescent="0.2">
      <c r="A23" s="11">
        <v>13</v>
      </c>
      <c r="B23" s="5" t="s">
        <v>39</v>
      </c>
      <c r="C23" s="12" t="s">
        <v>44</v>
      </c>
      <c r="D23" s="5" t="s">
        <v>43</v>
      </c>
      <c r="E23" s="8">
        <f>15+12.22+1046.15</f>
        <v>1073.3700000000001</v>
      </c>
      <c r="F23" s="5" t="s">
        <v>10</v>
      </c>
      <c r="G23" s="2" t="s">
        <v>16</v>
      </c>
    </row>
    <row r="24" spans="1:8" x14ac:dyDescent="0.2">
      <c r="A24" s="11">
        <v>14</v>
      </c>
      <c r="B24" s="5" t="s">
        <v>45</v>
      </c>
      <c r="C24" s="11">
        <v>57500462912</v>
      </c>
      <c r="D24" s="5" t="s">
        <v>47</v>
      </c>
      <c r="E24" s="8">
        <v>1150</v>
      </c>
      <c r="F24" s="5" t="s">
        <v>10</v>
      </c>
      <c r="G24" s="2" t="s">
        <v>46</v>
      </c>
    </row>
    <row r="25" spans="1:8" x14ac:dyDescent="0.2">
      <c r="A25" s="11">
        <v>15</v>
      </c>
      <c r="B25" s="5" t="s">
        <v>17</v>
      </c>
      <c r="C25" s="11" t="s">
        <v>17</v>
      </c>
      <c r="D25" s="5" t="s">
        <v>17</v>
      </c>
      <c r="E25" s="8">
        <f>1220+7592.75</f>
        <v>8812.75</v>
      </c>
      <c r="F25" s="5" t="s">
        <v>10</v>
      </c>
      <c r="G25" s="2" t="s">
        <v>991</v>
      </c>
    </row>
    <row r="26" spans="1:8" x14ac:dyDescent="0.2">
      <c r="A26" s="11">
        <v>16</v>
      </c>
      <c r="B26" s="19" t="s">
        <v>297</v>
      </c>
      <c r="C26" s="36">
        <v>72836081238</v>
      </c>
      <c r="D26" s="19" t="s">
        <v>298</v>
      </c>
      <c r="E26" s="15">
        <v>6000</v>
      </c>
      <c r="F26" s="19" t="s">
        <v>10</v>
      </c>
      <c r="G26" s="28" t="s">
        <v>23</v>
      </c>
    </row>
    <row r="27" spans="1:8" x14ac:dyDescent="0.2">
      <c r="A27" s="11">
        <v>17</v>
      </c>
      <c r="B27" s="5" t="s">
        <v>388</v>
      </c>
      <c r="C27" s="11" t="s">
        <v>390</v>
      </c>
      <c r="D27" s="5" t="s">
        <v>389</v>
      </c>
      <c r="E27" s="8">
        <v>25000</v>
      </c>
      <c r="F27" s="44" t="s">
        <v>10</v>
      </c>
      <c r="G27" s="2" t="s">
        <v>23</v>
      </c>
    </row>
    <row r="28" spans="1:8" x14ac:dyDescent="0.2">
      <c r="A28" s="11">
        <v>18</v>
      </c>
      <c r="B28" s="5" t="s">
        <v>290</v>
      </c>
      <c r="C28" s="11">
        <v>40779258479</v>
      </c>
      <c r="D28" s="5" t="s">
        <v>291</v>
      </c>
      <c r="E28" s="8">
        <v>78293.2</v>
      </c>
      <c r="F28" s="5" t="s">
        <v>10</v>
      </c>
      <c r="G28" s="2" t="s">
        <v>23</v>
      </c>
      <c r="H28" s="13"/>
    </row>
    <row r="29" spans="1:8" x14ac:dyDescent="0.2">
      <c r="A29" s="11">
        <v>19</v>
      </c>
      <c r="B29" s="23" t="s">
        <v>613</v>
      </c>
      <c r="C29" s="24">
        <v>66253945791</v>
      </c>
      <c r="D29" s="38" t="s">
        <v>67</v>
      </c>
      <c r="E29" s="8">
        <v>9220.0499999999993</v>
      </c>
      <c r="F29" s="23" t="s">
        <v>10</v>
      </c>
      <c r="G29" s="2" t="s">
        <v>58</v>
      </c>
    </row>
    <row r="30" spans="1:8" x14ac:dyDescent="0.2">
      <c r="A30" s="11">
        <v>20</v>
      </c>
      <c r="B30" s="5" t="s">
        <v>65</v>
      </c>
      <c r="C30" s="11">
        <v>93039509752</v>
      </c>
      <c r="D30" s="5" t="s">
        <v>75</v>
      </c>
      <c r="E30" s="17">
        <v>1628.44</v>
      </c>
      <c r="F30" s="5" t="s">
        <v>10</v>
      </c>
      <c r="G30" s="2" t="s">
        <v>55</v>
      </c>
    </row>
    <row r="31" spans="1:8" x14ac:dyDescent="0.2">
      <c r="A31" s="11">
        <v>21</v>
      </c>
      <c r="B31" s="19" t="s">
        <v>59</v>
      </c>
      <c r="C31" s="36">
        <v>63073332379</v>
      </c>
      <c r="D31" s="19" t="s">
        <v>73</v>
      </c>
      <c r="E31" s="15">
        <v>3682.96</v>
      </c>
      <c r="F31" s="19" t="s">
        <v>10</v>
      </c>
      <c r="G31" s="28" t="s">
        <v>61</v>
      </c>
    </row>
    <row r="32" spans="1:8" x14ac:dyDescent="0.2">
      <c r="A32" s="11">
        <v>22</v>
      </c>
      <c r="B32" s="5" t="s">
        <v>480</v>
      </c>
      <c r="C32" s="11">
        <v>69857578031</v>
      </c>
      <c r="D32" s="5" t="s">
        <v>482</v>
      </c>
      <c r="E32" s="8">
        <v>608.15</v>
      </c>
      <c r="F32" s="44" t="s">
        <v>10</v>
      </c>
      <c r="G32" s="2" t="s">
        <v>481</v>
      </c>
    </row>
    <row r="33" spans="1:7" ht="12.75" thickBot="1" x14ac:dyDescent="0.25">
      <c r="A33" s="11">
        <v>23</v>
      </c>
      <c r="B33" s="5" t="s">
        <v>755</v>
      </c>
      <c r="C33" s="11">
        <v>44270699963</v>
      </c>
      <c r="D33" s="5" t="s">
        <v>756</v>
      </c>
      <c r="E33" s="18">
        <v>29.7</v>
      </c>
      <c r="F33" s="35" t="s">
        <v>10</v>
      </c>
      <c r="G33" s="32" t="s">
        <v>112</v>
      </c>
    </row>
    <row r="34" spans="1:7" ht="15" customHeight="1" x14ac:dyDescent="0.2">
      <c r="A34" s="84">
        <v>24</v>
      </c>
      <c r="B34" s="82" t="s">
        <v>76</v>
      </c>
      <c r="C34" s="84">
        <v>11471889269</v>
      </c>
      <c r="D34" s="82" t="s">
        <v>77</v>
      </c>
      <c r="E34" s="16">
        <v>7000</v>
      </c>
      <c r="F34" s="82" t="s">
        <v>10</v>
      </c>
      <c r="G34" s="31" t="s">
        <v>58</v>
      </c>
    </row>
    <row r="35" spans="1:7" ht="12.75" thickBot="1" x14ac:dyDescent="0.25">
      <c r="A35" s="85"/>
      <c r="B35" s="83"/>
      <c r="C35" s="85"/>
      <c r="D35" s="83"/>
      <c r="E35" s="18">
        <v>5000</v>
      </c>
      <c r="F35" s="83"/>
      <c r="G35" s="32" t="s">
        <v>23</v>
      </c>
    </row>
    <row r="36" spans="1:7" x14ac:dyDescent="0.2">
      <c r="A36" s="84">
        <v>25</v>
      </c>
      <c r="B36" s="82" t="s">
        <v>78</v>
      </c>
      <c r="C36" s="84">
        <v>27759560625</v>
      </c>
      <c r="D36" s="82" t="s">
        <v>80</v>
      </c>
      <c r="E36" s="16">
        <v>6914.89</v>
      </c>
      <c r="F36" s="82" t="s">
        <v>10</v>
      </c>
      <c r="G36" s="31" t="s">
        <v>79</v>
      </c>
    </row>
    <row r="37" spans="1:7" ht="12.75" thickBot="1" x14ac:dyDescent="0.25">
      <c r="A37" s="70"/>
      <c r="B37" s="69"/>
      <c r="C37" s="70"/>
      <c r="D37" s="69"/>
      <c r="E37" s="15">
        <f>3755.71</f>
        <v>3755.71</v>
      </c>
      <c r="F37" s="69"/>
      <c r="G37" s="28" t="s">
        <v>23</v>
      </c>
    </row>
    <row r="38" spans="1:7" x14ac:dyDescent="0.2">
      <c r="A38" s="49">
        <v>26</v>
      </c>
      <c r="B38" s="30" t="s">
        <v>25</v>
      </c>
      <c r="C38" s="49">
        <v>73660371074</v>
      </c>
      <c r="D38" s="30" t="s">
        <v>38</v>
      </c>
      <c r="E38" s="16">
        <f>23.06+9.34</f>
        <v>32.4</v>
      </c>
      <c r="F38" s="30" t="s">
        <v>10</v>
      </c>
      <c r="G38" s="31" t="s">
        <v>23</v>
      </c>
    </row>
    <row r="39" spans="1:7" x14ac:dyDescent="0.2">
      <c r="A39" s="11">
        <v>27</v>
      </c>
      <c r="B39" s="5" t="s">
        <v>550</v>
      </c>
      <c r="C39" s="11">
        <v>22911773746</v>
      </c>
      <c r="D39" s="5" t="s">
        <v>551</v>
      </c>
      <c r="E39" s="8">
        <v>315</v>
      </c>
      <c r="F39" s="5" t="s">
        <v>10</v>
      </c>
      <c r="G39" s="2" t="s">
        <v>23</v>
      </c>
    </row>
    <row r="40" spans="1:7" x14ac:dyDescent="0.2">
      <c r="A40" s="11">
        <v>28</v>
      </c>
      <c r="B40" s="5" t="s">
        <v>533</v>
      </c>
      <c r="C40" s="11">
        <v>7882320813</v>
      </c>
      <c r="D40" s="5" t="s">
        <v>1141</v>
      </c>
      <c r="E40" s="8">
        <v>2679.33</v>
      </c>
      <c r="F40" s="5" t="s">
        <v>10</v>
      </c>
      <c r="G40" s="2" t="s">
        <v>367</v>
      </c>
    </row>
    <row r="41" spans="1:7" x14ac:dyDescent="0.2">
      <c r="A41" s="11">
        <v>29</v>
      </c>
      <c r="B41" s="5" t="s">
        <v>87</v>
      </c>
      <c r="C41" s="12" t="s">
        <v>92</v>
      </c>
      <c r="D41" s="5" t="s">
        <v>91</v>
      </c>
      <c r="E41" s="8">
        <v>57.5</v>
      </c>
      <c r="F41" s="5" t="s">
        <v>10</v>
      </c>
      <c r="G41" s="2" t="s">
        <v>86</v>
      </c>
    </row>
    <row r="42" spans="1:7" x14ac:dyDescent="0.2">
      <c r="A42" s="11">
        <v>30</v>
      </c>
      <c r="B42" s="5" t="s">
        <v>1139</v>
      </c>
      <c r="C42" s="11">
        <v>66402309304</v>
      </c>
      <c r="D42" s="5" t="s">
        <v>1140</v>
      </c>
      <c r="E42" s="8">
        <v>2956.33</v>
      </c>
      <c r="F42" s="5" t="s">
        <v>10</v>
      </c>
      <c r="G42" s="2" t="s">
        <v>287</v>
      </c>
    </row>
    <row r="43" spans="1:7" x14ac:dyDescent="0.2">
      <c r="A43" s="11">
        <v>31</v>
      </c>
      <c r="B43" s="5" t="s">
        <v>195</v>
      </c>
      <c r="C43" s="11">
        <v>85621555748</v>
      </c>
      <c r="D43" s="5" t="s">
        <v>241</v>
      </c>
      <c r="E43" s="8">
        <v>286.8</v>
      </c>
      <c r="F43" s="5" t="s">
        <v>10</v>
      </c>
      <c r="G43" s="2" t="s">
        <v>173</v>
      </c>
    </row>
    <row r="44" spans="1:7" x14ac:dyDescent="0.2">
      <c r="A44" s="11">
        <v>32</v>
      </c>
      <c r="B44" s="5" t="s">
        <v>100</v>
      </c>
      <c r="C44" s="11" t="s">
        <v>17</v>
      </c>
      <c r="D44" s="5" t="s">
        <v>17</v>
      </c>
      <c r="E44" s="8">
        <v>218.88</v>
      </c>
      <c r="F44" s="5" t="s">
        <v>10</v>
      </c>
      <c r="G44" s="2" t="s">
        <v>99</v>
      </c>
    </row>
    <row r="45" spans="1:7" x14ac:dyDescent="0.2">
      <c r="A45" s="11">
        <v>33</v>
      </c>
      <c r="B45" s="5" t="s">
        <v>17</v>
      </c>
      <c r="C45" s="11" t="s">
        <v>17</v>
      </c>
      <c r="D45" s="5" t="s">
        <v>17</v>
      </c>
      <c r="E45" s="8">
        <v>896</v>
      </c>
      <c r="F45" s="5" t="s">
        <v>10</v>
      </c>
      <c r="G45" s="2" t="s">
        <v>101</v>
      </c>
    </row>
    <row r="46" spans="1:7" x14ac:dyDescent="0.2">
      <c r="A46" s="11">
        <v>34</v>
      </c>
      <c r="B46" s="5" t="s">
        <v>711</v>
      </c>
      <c r="C46" s="11">
        <v>33813961569</v>
      </c>
      <c r="D46" s="5" t="s">
        <v>712</v>
      </c>
      <c r="E46" s="8">
        <v>404.26</v>
      </c>
      <c r="F46" s="5" t="s">
        <v>10</v>
      </c>
      <c r="G46" s="2" t="s">
        <v>112</v>
      </c>
    </row>
    <row r="47" spans="1:7" x14ac:dyDescent="0.2">
      <c r="A47" s="11">
        <v>35</v>
      </c>
      <c r="B47" s="5" t="s">
        <v>1143</v>
      </c>
      <c r="C47" s="12" t="s">
        <v>1144</v>
      </c>
      <c r="D47" s="5" t="s">
        <v>1142</v>
      </c>
      <c r="E47" s="8">
        <v>9456</v>
      </c>
      <c r="F47" s="5" t="s">
        <v>10</v>
      </c>
      <c r="G47" s="2" t="s">
        <v>23</v>
      </c>
    </row>
    <row r="48" spans="1:7" x14ac:dyDescent="0.2">
      <c r="A48" s="11">
        <v>36</v>
      </c>
      <c r="B48" s="5" t="s">
        <v>17</v>
      </c>
      <c r="C48" s="11" t="s">
        <v>17</v>
      </c>
      <c r="D48" s="5" t="s">
        <v>17</v>
      </c>
      <c r="E48" s="8">
        <v>270</v>
      </c>
      <c r="F48" s="5" t="s">
        <v>10</v>
      </c>
      <c r="G48" s="2" t="s">
        <v>107</v>
      </c>
    </row>
    <row r="49" spans="1:9" x14ac:dyDescent="0.2">
      <c r="A49" s="11">
        <v>37</v>
      </c>
      <c r="B49" s="5" t="s">
        <v>109</v>
      </c>
      <c r="C49" s="11">
        <v>32179081874</v>
      </c>
      <c r="D49" s="5" t="s">
        <v>110</v>
      </c>
      <c r="E49" s="15">
        <v>3.39</v>
      </c>
      <c r="F49" s="19" t="s">
        <v>10</v>
      </c>
      <c r="G49" s="28" t="s">
        <v>108</v>
      </c>
    </row>
    <row r="50" spans="1:9" x14ac:dyDescent="0.2">
      <c r="A50" s="11">
        <v>38</v>
      </c>
      <c r="B50" s="23" t="s">
        <v>113</v>
      </c>
      <c r="C50" s="24">
        <v>76173743169</v>
      </c>
      <c r="D50" s="23" t="s">
        <v>111</v>
      </c>
      <c r="E50" s="8">
        <v>550.34</v>
      </c>
      <c r="F50" s="23" t="s">
        <v>10</v>
      </c>
      <c r="G50" s="2" t="s">
        <v>108</v>
      </c>
    </row>
    <row r="51" spans="1:9" ht="12.75" thickBot="1" x14ac:dyDescent="0.25">
      <c r="A51" s="11">
        <v>39</v>
      </c>
      <c r="B51" s="19" t="s">
        <v>114</v>
      </c>
      <c r="C51" s="43" t="s">
        <v>116</v>
      </c>
      <c r="D51" s="19" t="s">
        <v>117</v>
      </c>
      <c r="E51" s="15">
        <v>957.01</v>
      </c>
      <c r="F51" s="19" t="s">
        <v>10</v>
      </c>
      <c r="G51" s="28" t="s">
        <v>115</v>
      </c>
    </row>
    <row r="52" spans="1:9" x14ac:dyDescent="0.2">
      <c r="A52" s="84">
        <v>40</v>
      </c>
      <c r="B52" s="82" t="s">
        <v>119</v>
      </c>
      <c r="C52" s="84">
        <v>34976993601</v>
      </c>
      <c r="D52" s="82" t="s">
        <v>120</v>
      </c>
      <c r="E52" s="16">
        <v>786.3</v>
      </c>
      <c r="F52" s="82" t="s">
        <v>10</v>
      </c>
      <c r="G52" s="31" t="s">
        <v>118</v>
      </c>
    </row>
    <row r="53" spans="1:9" ht="12.75" thickBot="1" x14ac:dyDescent="0.25">
      <c r="A53" s="85"/>
      <c r="B53" s="83"/>
      <c r="C53" s="85"/>
      <c r="D53" s="83"/>
      <c r="E53" s="18">
        <v>268.43</v>
      </c>
      <c r="F53" s="83"/>
      <c r="G53" s="32" t="s">
        <v>287</v>
      </c>
    </row>
    <row r="54" spans="1:9" x14ac:dyDescent="0.2">
      <c r="A54" s="37">
        <v>41</v>
      </c>
      <c r="B54" s="33" t="s">
        <v>17</v>
      </c>
      <c r="C54" s="37" t="s">
        <v>17</v>
      </c>
      <c r="D54" s="33" t="s">
        <v>17</v>
      </c>
      <c r="E54" s="17">
        <v>1753.1</v>
      </c>
      <c r="F54" s="33" t="s">
        <v>10</v>
      </c>
      <c r="G54" s="34" t="s">
        <v>121</v>
      </c>
    </row>
    <row r="55" spans="1:9" x14ac:dyDescent="0.2">
      <c r="A55" s="11">
        <v>42</v>
      </c>
      <c r="B55" s="5" t="s">
        <v>17</v>
      </c>
      <c r="C55" s="11" t="s">
        <v>17</v>
      </c>
      <c r="D55" s="5" t="s">
        <v>17</v>
      </c>
      <c r="E55" s="8">
        <v>21645.31</v>
      </c>
      <c r="F55" s="5" t="s">
        <v>10</v>
      </c>
      <c r="G55" s="2" t="s">
        <v>122</v>
      </c>
    </row>
    <row r="56" spans="1:9" x14ac:dyDescent="0.2">
      <c r="A56" s="11">
        <v>43</v>
      </c>
      <c r="B56" s="5" t="s">
        <v>17</v>
      </c>
      <c r="C56" s="11" t="s">
        <v>17</v>
      </c>
      <c r="D56" s="5" t="s">
        <v>17</v>
      </c>
      <c r="E56" s="8">
        <f>560</f>
        <v>560</v>
      </c>
      <c r="F56" s="5" t="s">
        <v>10</v>
      </c>
      <c r="G56" s="2" t="s">
        <v>123</v>
      </c>
    </row>
    <row r="57" spans="1:9" x14ac:dyDescent="0.2">
      <c r="A57" s="11">
        <v>44</v>
      </c>
      <c r="B57" s="5" t="s">
        <v>1137</v>
      </c>
      <c r="C57" s="11">
        <v>52639870872</v>
      </c>
      <c r="D57" s="5" t="s">
        <v>1138</v>
      </c>
      <c r="E57" s="8">
        <v>5730.19</v>
      </c>
      <c r="F57" s="5" t="s">
        <v>10</v>
      </c>
      <c r="G57" s="2" t="s">
        <v>23</v>
      </c>
    </row>
    <row r="58" spans="1:9" x14ac:dyDescent="0.2">
      <c r="A58" s="11">
        <v>45</v>
      </c>
      <c r="B58" s="5" t="s">
        <v>732</v>
      </c>
      <c r="C58" s="11">
        <v>80972836106</v>
      </c>
      <c r="D58" s="5" t="s">
        <v>733</v>
      </c>
      <c r="E58" s="8">
        <f>84.7+85.2</f>
        <v>169.9</v>
      </c>
      <c r="F58" s="5" t="s">
        <v>10</v>
      </c>
      <c r="G58" s="2" t="s">
        <v>173</v>
      </c>
    </row>
    <row r="59" spans="1:9" x14ac:dyDescent="0.2">
      <c r="A59" s="11">
        <v>46</v>
      </c>
      <c r="B59" s="5" t="s">
        <v>578</v>
      </c>
      <c r="C59" s="11">
        <v>64691033428</v>
      </c>
      <c r="D59" s="5" t="s">
        <v>601</v>
      </c>
      <c r="E59" s="8">
        <v>566.35</v>
      </c>
      <c r="F59" s="23" t="s">
        <v>10</v>
      </c>
      <c r="G59" s="2" t="s">
        <v>23</v>
      </c>
    </row>
    <row r="60" spans="1:9" x14ac:dyDescent="0.2">
      <c r="A60" s="11">
        <v>47</v>
      </c>
      <c r="B60" s="23" t="s">
        <v>132</v>
      </c>
      <c r="C60" s="24">
        <v>81793146560</v>
      </c>
      <c r="D60" s="23" t="s">
        <v>133</v>
      </c>
      <c r="E60" s="8">
        <v>1924.03</v>
      </c>
      <c r="F60" s="5" t="s">
        <v>10</v>
      </c>
      <c r="G60" s="2" t="s">
        <v>292</v>
      </c>
    </row>
    <row r="61" spans="1:9" x14ac:dyDescent="0.2">
      <c r="A61" s="11">
        <v>48</v>
      </c>
      <c r="B61" s="5" t="s">
        <v>817</v>
      </c>
      <c r="C61" s="11">
        <v>41333730825</v>
      </c>
      <c r="D61" s="5" t="s">
        <v>818</v>
      </c>
      <c r="E61" s="8">
        <v>1362.5</v>
      </c>
      <c r="F61" s="5" t="s">
        <v>10</v>
      </c>
      <c r="G61" s="2" t="s">
        <v>23</v>
      </c>
      <c r="I61" s="13"/>
    </row>
    <row r="62" spans="1:9" x14ac:dyDescent="0.2">
      <c r="A62" s="11">
        <v>49</v>
      </c>
      <c r="B62" s="5" t="s">
        <v>17</v>
      </c>
      <c r="C62" s="11" t="s">
        <v>17</v>
      </c>
      <c r="D62" s="5" t="s">
        <v>17</v>
      </c>
      <c r="E62" s="8">
        <v>398.17</v>
      </c>
      <c r="F62" s="5" t="s">
        <v>10</v>
      </c>
      <c r="G62" s="2" t="s">
        <v>1134</v>
      </c>
    </row>
    <row r="63" spans="1:9" x14ac:dyDescent="0.2">
      <c r="A63" s="11">
        <v>50</v>
      </c>
      <c r="B63" s="5" t="s">
        <v>313</v>
      </c>
      <c r="C63" s="11">
        <v>74867487620</v>
      </c>
      <c r="D63" s="5" t="s">
        <v>314</v>
      </c>
      <c r="E63" s="8">
        <v>3495.8</v>
      </c>
      <c r="F63" s="5" t="s">
        <v>10</v>
      </c>
      <c r="G63" s="2" t="s">
        <v>23</v>
      </c>
    </row>
    <row r="64" spans="1:9" x14ac:dyDescent="0.2">
      <c r="A64" s="11">
        <v>51</v>
      </c>
      <c r="B64" s="5" t="s">
        <v>138</v>
      </c>
      <c r="C64" s="11">
        <v>46163832762</v>
      </c>
      <c r="D64" s="5" t="s">
        <v>202</v>
      </c>
      <c r="E64" s="8">
        <v>179.01</v>
      </c>
      <c r="F64" s="5" t="s">
        <v>10</v>
      </c>
      <c r="G64" s="2" t="s">
        <v>112</v>
      </c>
    </row>
    <row r="65" spans="1:9" x14ac:dyDescent="0.2">
      <c r="A65" s="11">
        <v>52</v>
      </c>
      <c r="B65" s="5" t="s">
        <v>140</v>
      </c>
      <c r="C65" s="11">
        <v>41412434130</v>
      </c>
      <c r="D65" s="5" t="s">
        <v>197</v>
      </c>
      <c r="E65" s="8">
        <f>71.98+67.28+67.28</f>
        <v>206.54</v>
      </c>
      <c r="F65" s="5" t="s">
        <v>10</v>
      </c>
      <c r="G65" s="2" t="s">
        <v>112</v>
      </c>
    </row>
    <row r="66" spans="1:9" x14ac:dyDescent="0.2">
      <c r="A66" s="11">
        <v>53</v>
      </c>
      <c r="B66" s="5" t="s">
        <v>855</v>
      </c>
      <c r="C66" s="11">
        <v>41317489366</v>
      </c>
      <c r="D66" s="5" t="s">
        <v>856</v>
      </c>
      <c r="E66" s="8">
        <v>5295.62</v>
      </c>
      <c r="F66" s="5" t="s">
        <v>10</v>
      </c>
      <c r="G66" s="2" t="s">
        <v>263</v>
      </c>
      <c r="I66" s="13"/>
    </row>
    <row r="67" spans="1:9" x14ac:dyDescent="0.2">
      <c r="A67" s="11">
        <v>54</v>
      </c>
      <c r="B67" s="5" t="s">
        <v>142</v>
      </c>
      <c r="C67" s="12" t="s">
        <v>203</v>
      </c>
      <c r="D67" s="5" t="s">
        <v>204</v>
      </c>
      <c r="E67" s="8">
        <v>202.87</v>
      </c>
      <c r="F67" s="5" t="s">
        <v>10</v>
      </c>
      <c r="G67" s="2" t="s">
        <v>112</v>
      </c>
    </row>
    <row r="68" spans="1:9" x14ac:dyDescent="0.2">
      <c r="A68" s="11">
        <v>55</v>
      </c>
      <c r="B68" s="5" t="s">
        <v>143</v>
      </c>
      <c r="C68" s="11">
        <v>85584865987</v>
      </c>
      <c r="D68" s="5" t="s">
        <v>205</v>
      </c>
      <c r="E68" s="8">
        <v>1167.99</v>
      </c>
      <c r="F68" s="5" t="s">
        <v>10</v>
      </c>
      <c r="G68" s="2" t="s">
        <v>112</v>
      </c>
    </row>
    <row r="69" spans="1:9" x14ac:dyDescent="0.2">
      <c r="A69" s="11">
        <v>56</v>
      </c>
      <c r="B69" s="5" t="s">
        <v>144</v>
      </c>
      <c r="C69" s="11" t="s">
        <v>740</v>
      </c>
      <c r="D69" s="5" t="s">
        <v>740</v>
      </c>
      <c r="E69" s="8">
        <v>1008</v>
      </c>
      <c r="F69" s="5" t="s">
        <v>10</v>
      </c>
      <c r="G69" s="2" t="s">
        <v>145</v>
      </c>
    </row>
    <row r="70" spans="1:9" x14ac:dyDescent="0.2">
      <c r="A70" s="11">
        <v>57</v>
      </c>
      <c r="B70" s="5" t="s">
        <v>1135</v>
      </c>
      <c r="C70" s="11">
        <v>60126992663</v>
      </c>
      <c r="D70" s="5" t="s">
        <v>1136</v>
      </c>
      <c r="E70" s="8">
        <v>5.86</v>
      </c>
      <c r="F70" s="5" t="s">
        <v>10</v>
      </c>
      <c r="G70" s="2" t="s">
        <v>23</v>
      </c>
    </row>
    <row r="71" spans="1:9" x14ac:dyDescent="0.2">
      <c r="A71" s="11">
        <v>58</v>
      </c>
      <c r="B71" s="5" t="s">
        <v>868</v>
      </c>
      <c r="C71" s="11">
        <v>11374156664</v>
      </c>
      <c r="D71" s="5" t="s">
        <v>869</v>
      </c>
      <c r="E71" s="8">
        <v>100.75</v>
      </c>
      <c r="F71" s="5" t="s">
        <v>10</v>
      </c>
      <c r="G71" s="2" t="s">
        <v>23</v>
      </c>
    </row>
    <row r="72" spans="1:9" x14ac:dyDescent="0.2">
      <c r="A72" s="11">
        <v>59</v>
      </c>
      <c r="B72" s="5" t="s">
        <v>405</v>
      </c>
      <c r="C72" s="11">
        <v>38411868043</v>
      </c>
      <c r="D72" s="5" t="s">
        <v>406</v>
      </c>
      <c r="E72" s="8">
        <v>5032.5</v>
      </c>
      <c r="F72" s="5" t="s">
        <v>10</v>
      </c>
      <c r="G72" s="2" t="s">
        <v>23</v>
      </c>
    </row>
    <row r="73" spans="1:9" x14ac:dyDescent="0.2">
      <c r="A73" s="11">
        <v>60</v>
      </c>
      <c r="B73" s="5" t="s">
        <v>282</v>
      </c>
      <c r="C73" s="11">
        <v>55175013491</v>
      </c>
      <c r="D73" s="5" t="s">
        <v>283</v>
      </c>
      <c r="E73" s="8">
        <v>12470.5</v>
      </c>
      <c r="F73" s="5" t="s">
        <v>10</v>
      </c>
      <c r="G73" s="2" t="s">
        <v>23</v>
      </c>
    </row>
    <row r="74" spans="1:9" x14ac:dyDescent="0.2">
      <c r="A74" s="11">
        <v>61</v>
      </c>
      <c r="B74" s="5" t="s">
        <v>698</v>
      </c>
      <c r="C74" s="11">
        <v>41921055528</v>
      </c>
      <c r="D74" s="5" t="s">
        <v>699</v>
      </c>
      <c r="E74" s="8">
        <v>414</v>
      </c>
      <c r="F74" s="5" t="s">
        <v>10</v>
      </c>
      <c r="G74" s="2" t="s">
        <v>147</v>
      </c>
    </row>
    <row r="75" spans="1:9" x14ac:dyDescent="0.2">
      <c r="A75" s="11">
        <v>62</v>
      </c>
      <c r="B75" s="5" t="s">
        <v>1145</v>
      </c>
      <c r="C75" s="11" t="s">
        <v>1146</v>
      </c>
      <c r="D75" s="5" t="s">
        <v>1147</v>
      </c>
      <c r="E75" s="8">
        <v>2085.5</v>
      </c>
      <c r="F75" s="5" t="s">
        <v>10</v>
      </c>
      <c r="G75" s="2" t="s">
        <v>23</v>
      </c>
    </row>
    <row r="76" spans="1:9" x14ac:dyDescent="0.2">
      <c r="A76" s="11">
        <v>63</v>
      </c>
      <c r="B76" s="5" t="s">
        <v>857</v>
      </c>
      <c r="C76" s="11">
        <v>29035933600</v>
      </c>
      <c r="D76" s="5" t="s">
        <v>447</v>
      </c>
      <c r="E76" s="8">
        <v>7965.02</v>
      </c>
      <c r="F76" s="5" t="s">
        <v>10</v>
      </c>
      <c r="G76" s="2" t="s">
        <v>263</v>
      </c>
    </row>
    <row r="77" spans="1:9" x14ac:dyDescent="0.2">
      <c r="A77" s="11">
        <v>64</v>
      </c>
      <c r="B77" s="5" t="s">
        <v>870</v>
      </c>
      <c r="C77" s="12">
        <v>34683682958</v>
      </c>
      <c r="D77" s="5" t="s">
        <v>545</v>
      </c>
      <c r="E77" s="8">
        <v>142.97999999999999</v>
      </c>
      <c r="F77" s="5" t="s">
        <v>10</v>
      </c>
      <c r="G77" s="2" t="s">
        <v>330</v>
      </c>
    </row>
    <row r="78" spans="1:9" x14ac:dyDescent="0.2">
      <c r="A78" s="11">
        <v>65</v>
      </c>
      <c r="B78" s="5" t="s">
        <v>738</v>
      </c>
      <c r="C78" s="11">
        <v>77170927797</v>
      </c>
      <c r="D78" s="5" t="s">
        <v>739</v>
      </c>
      <c r="E78" s="8">
        <v>129.88</v>
      </c>
      <c r="F78" s="5" t="s">
        <v>10</v>
      </c>
      <c r="G78" s="2" t="s">
        <v>23</v>
      </c>
    </row>
    <row r="79" spans="1:9" x14ac:dyDescent="0.2">
      <c r="A79" s="11">
        <v>66</v>
      </c>
      <c r="B79" s="5" t="s">
        <v>157</v>
      </c>
      <c r="C79" s="11" t="s">
        <v>216</v>
      </c>
      <c r="D79" s="5" t="s">
        <v>158</v>
      </c>
      <c r="E79" s="8">
        <v>600</v>
      </c>
      <c r="F79" s="5" t="s">
        <v>10</v>
      </c>
      <c r="G79" s="2" t="s">
        <v>23</v>
      </c>
    </row>
    <row r="80" spans="1:9" x14ac:dyDescent="0.2">
      <c r="A80" s="11">
        <v>67</v>
      </c>
      <c r="B80" s="5" t="s">
        <v>860</v>
      </c>
      <c r="C80" s="11">
        <v>44307963093</v>
      </c>
      <c r="D80" s="5" t="s">
        <v>861</v>
      </c>
      <c r="E80" s="8">
        <v>6812.5</v>
      </c>
      <c r="F80" s="5" t="s">
        <v>10</v>
      </c>
      <c r="G80" s="2" t="s">
        <v>23</v>
      </c>
    </row>
    <row r="81" spans="1:9" x14ac:dyDescent="0.2">
      <c r="A81" s="11">
        <v>68</v>
      </c>
      <c r="B81" s="5" t="s">
        <v>96</v>
      </c>
      <c r="C81" s="11">
        <v>78997473821</v>
      </c>
      <c r="D81" s="5" t="s">
        <v>98</v>
      </c>
      <c r="E81" s="8">
        <v>212.54</v>
      </c>
      <c r="F81" s="5" t="s">
        <v>10</v>
      </c>
      <c r="G81" s="2" t="s">
        <v>97</v>
      </c>
    </row>
    <row r="82" spans="1:9" x14ac:dyDescent="0.2">
      <c r="A82" s="11">
        <v>69</v>
      </c>
      <c r="B82" s="5" t="s">
        <v>162</v>
      </c>
      <c r="C82" s="11">
        <v>58353015102</v>
      </c>
      <c r="D82" s="5" t="s">
        <v>219</v>
      </c>
      <c r="E82" s="8">
        <v>310.19</v>
      </c>
      <c r="F82" s="5" t="s">
        <v>10</v>
      </c>
      <c r="G82" s="2" t="s">
        <v>23</v>
      </c>
    </row>
    <row r="83" spans="1:9" x14ac:dyDescent="0.2">
      <c r="A83" s="11">
        <v>70</v>
      </c>
      <c r="B83" s="19" t="s">
        <v>1148</v>
      </c>
      <c r="C83" s="36">
        <v>48293321289</v>
      </c>
      <c r="D83" s="19" t="s">
        <v>1149</v>
      </c>
      <c r="E83" s="15">
        <v>14200</v>
      </c>
      <c r="F83" s="5" t="s">
        <v>10</v>
      </c>
      <c r="G83" s="2" t="s">
        <v>23</v>
      </c>
    </row>
    <row r="84" spans="1:9" x14ac:dyDescent="0.2">
      <c r="A84" s="11">
        <v>71</v>
      </c>
      <c r="B84" s="44" t="s">
        <v>873</v>
      </c>
      <c r="C84" s="45" t="s">
        <v>874</v>
      </c>
      <c r="D84" s="44" t="s">
        <v>875</v>
      </c>
      <c r="E84" s="8">
        <v>300</v>
      </c>
      <c r="F84" s="5" t="s">
        <v>10</v>
      </c>
      <c r="G84" s="2" t="s">
        <v>147</v>
      </c>
    </row>
    <row r="85" spans="1:9" x14ac:dyDescent="0.2">
      <c r="A85" s="11">
        <v>72</v>
      </c>
      <c r="B85" s="5" t="s">
        <v>165</v>
      </c>
      <c r="C85" s="11">
        <v>62534176727</v>
      </c>
      <c r="D85" s="5" t="s">
        <v>222</v>
      </c>
      <c r="E85" s="8">
        <v>2722.25</v>
      </c>
      <c r="F85" s="5" t="s">
        <v>10</v>
      </c>
      <c r="G85" s="2" t="s">
        <v>23</v>
      </c>
    </row>
    <row r="86" spans="1:9" x14ac:dyDescent="0.2">
      <c r="A86" s="11">
        <v>73</v>
      </c>
      <c r="B86" s="5" t="s">
        <v>548</v>
      </c>
      <c r="C86" s="11">
        <v>26950396239</v>
      </c>
      <c r="D86" s="5" t="s">
        <v>549</v>
      </c>
      <c r="E86" s="15">
        <v>4829</v>
      </c>
      <c r="F86" s="19" t="s">
        <v>10</v>
      </c>
      <c r="G86" s="28" t="s">
        <v>23</v>
      </c>
    </row>
    <row r="87" spans="1:9" x14ac:dyDescent="0.2">
      <c r="A87" s="11">
        <v>74</v>
      </c>
      <c r="B87" s="23" t="s">
        <v>168</v>
      </c>
      <c r="C87" s="24">
        <v>87682591133</v>
      </c>
      <c r="D87" s="23" t="s">
        <v>223</v>
      </c>
      <c r="E87" s="15">
        <v>33713.06</v>
      </c>
      <c r="F87" s="23" t="s">
        <v>10</v>
      </c>
      <c r="G87" s="28" t="s">
        <v>23</v>
      </c>
      <c r="I87" s="13"/>
    </row>
    <row r="88" spans="1:9" x14ac:dyDescent="0.2">
      <c r="A88" s="11">
        <v>75</v>
      </c>
      <c r="B88" s="50" t="s">
        <v>169</v>
      </c>
      <c r="C88" s="11">
        <v>19849957757</v>
      </c>
      <c r="D88" s="50" t="s">
        <v>225</v>
      </c>
      <c r="E88" s="8">
        <v>23380.74</v>
      </c>
      <c r="F88" s="50" t="s">
        <v>10</v>
      </c>
      <c r="G88" s="2" t="s">
        <v>23</v>
      </c>
    </row>
    <row r="89" spans="1:9" x14ac:dyDescent="0.2">
      <c r="A89" s="11">
        <v>76</v>
      </c>
      <c r="B89" s="33" t="s">
        <v>170</v>
      </c>
      <c r="C89" s="37">
        <v>52233171260</v>
      </c>
      <c r="D89" s="33" t="s">
        <v>224</v>
      </c>
      <c r="E89" s="17">
        <v>10474.66</v>
      </c>
      <c r="F89" s="33" t="s">
        <v>10</v>
      </c>
      <c r="G89" s="34" t="s">
        <v>23</v>
      </c>
    </row>
    <row r="90" spans="1:9" x14ac:dyDescent="0.2">
      <c r="A90" s="11">
        <v>77</v>
      </c>
      <c r="B90" s="5" t="s">
        <v>730</v>
      </c>
      <c r="C90" s="11">
        <v>85821130368</v>
      </c>
      <c r="D90" s="5" t="s">
        <v>731</v>
      </c>
      <c r="E90" s="8">
        <v>97.9</v>
      </c>
      <c r="F90" s="27" t="s">
        <v>10</v>
      </c>
      <c r="G90" s="2" t="s">
        <v>176</v>
      </c>
    </row>
    <row r="91" spans="1:9" x14ac:dyDescent="0.2">
      <c r="A91" s="11">
        <v>78</v>
      </c>
      <c r="B91" s="5" t="s">
        <v>174</v>
      </c>
      <c r="C91" s="11">
        <v>79517545745</v>
      </c>
      <c r="D91" s="5" t="s">
        <v>227</v>
      </c>
      <c r="E91" s="8">
        <v>60.9</v>
      </c>
      <c r="F91" s="5" t="s">
        <v>10</v>
      </c>
      <c r="G91" s="2" t="s">
        <v>176</v>
      </c>
    </row>
    <row r="92" spans="1:9" x14ac:dyDescent="0.2">
      <c r="A92" s="11">
        <v>79</v>
      </c>
      <c r="B92" s="5" t="s">
        <v>580</v>
      </c>
      <c r="C92" s="11">
        <v>88745489373</v>
      </c>
      <c r="D92" s="5" t="s">
        <v>603</v>
      </c>
      <c r="E92" s="8">
        <v>4125</v>
      </c>
      <c r="F92" s="5" t="s">
        <v>10</v>
      </c>
      <c r="G92" s="2" t="s">
        <v>23</v>
      </c>
    </row>
    <row r="93" spans="1:9" x14ac:dyDescent="0.2">
      <c r="A93" s="11">
        <v>80</v>
      </c>
      <c r="B93" s="5" t="s">
        <v>17</v>
      </c>
      <c r="C93" s="11" t="s">
        <v>17</v>
      </c>
      <c r="D93" s="5" t="s">
        <v>17</v>
      </c>
      <c r="E93" s="8">
        <f>5600+1400</f>
        <v>7000</v>
      </c>
      <c r="F93" s="5" t="s">
        <v>10</v>
      </c>
      <c r="G93" s="2" t="s">
        <v>177</v>
      </c>
    </row>
    <row r="94" spans="1:9" x14ac:dyDescent="0.2">
      <c r="A94" s="11">
        <v>81</v>
      </c>
      <c r="B94" s="19" t="s">
        <v>17</v>
      </c>
      <c r="C94" s="36" t="s">
        <v>17</v>
      </c>
      <c r="D94" s="19" t="s">
        <v>17</v>
      </c>
      <c r="E94" s="15">
        <f>2927.97+200</f>
        <v>3127.97</v>
      </c>
      <c r="F94" s="19" t="s">
        <v>10</v>
      </c>
      <c r="G94" s="28" t="s">
        <v>178</v>
      </c>
    </row>
    <row r="95" spans="1:9" x14ac:dyDescent="0.2">
      <c r="A95" s="11">
        <v>82</v>
      </c>
      <c r="B95" s="5" t="s">
        <v>794</v>
      </c>
      <c r="C95" s="11">
        <v>69927324836</v>
      </c>
      <c r="D95" s="5" t="s">
        <v>795</v>
      </c>
      <c r="E95" s="8">
        <v>2988.31</v>
      </c>
      <c r="F95" s="5" t="s">
        <v>10</v>
      </c>
      <c r="G95" s="2" t="s">
        <v>23</v>
      </c>
    </row>
    <row r="96" spans="1:9" x14ac:dyDescent="0.2">
      <c r="A96" s="11">
        <v>83</v>
      </c>
      <c r="B96" s="5" t="s">
        <v>230</v>
      </c>
      <c r="C96" s="11">
        <v>62969535840</v>
      </c>
      <c r="D96" s="5" t="s">
        <v>231</v>
      </c>
      <c r="E96" s="20">
        <v>111.54</v>
      </c>
      <c r="F96" s="40" t="s">
        <v>10</v>
      </c>
      <c r="G96" s="41" t="s">
        <v>23</v>
      </c>
    </row>
    <row r="97" spans="1:9" x14ac:dyDescent="0.2">
      <c r="A97" s="11">
        <v>84</v>
      </c>
      <c r="B97" s="44" t="s">
        <v>181</v>
      </c>
      <c r="C97" s="45">
        <v>71642207963</v>
      </c>
      <c r="D97" s="44" t="s">
        <v>232</v>
      </c>
      <c r="E97" s="8">
        <f>49.9+17.64</f>
        <v>67.539999999999992</v>
      </c>
      <c r="F97" s="5" t="s">
        <v>10</v>
      </c>
      <c r="G97" s="2" t="s">
        <v>23</v>
      </c>
    </row>
    <row r="98" spans="1:9" x14ac:dyDescent="0.2">
      <c r="A98" s="11">
        <v>85</v>
      </c>
      <c r="B98" s="5" t="s">
        <v>339</v>
      </c>
      <c r="C98" s="11">
        <v>22740118957</v>
      </c>
      <c r="D98" s="5" t="s">
        <v>340</v>
      </c>
      <c r="E98" s="8">
        <v>19000</v>
      </c>
      <c r="F98" s="5" t="s">
        <v>10</v>
      </c>
      <c r="G98" s="2" t="s">
        <v>23</v>
      </c>
    </row>
    <row r="99" spans="1:9" x14ac:dyDescent="0.2">
      <c r="A99" s="11">
        <v>86</v>
      </c>
      <c r="B99" s="5" t="s">
        <v>676</v>
      </c>
      <c r="C99" s="11" t="s">
        <v>677</v>
      </c>
      <c r="D99" s="5" t="s">
        <v>678</v>
      </c>
      <c r="E99" s="8">
        <v>87.99</v>
      </c>
      <c r="F99" s="5" t="s">
        <v>10</v>
      </c>
      <c r="G99" s="2" t="s">
        <v>23</v>
      </c>
    </row>
    <row r="100" spans="1:9" x14ac:dyDescent="0.2">
      <c r="A100" s="11">
        <v>87</v>
      </c>
      <c r="B100" s="5" t="s">
        <v>424</v>
      </c>
      <c r="C100" s="11">
        <v>40480660548</v>
      </c>
      <c r="D100" s="5" t="s">
        <v>425</v>
      </c>
      <c r="E100" s="8">
        <v>8087.5</v>
      </c>
      <c r="F100" s="5" t="s">
        <v>10</v>
      </c>
      <c r="G100" s="2" t="s">
        <v>23</v>
      </c>
    </row>
    <row r="101" spans="1:9" x14ac:dyDescent="0.2">
      <c r="A101" s="11">
        <v>88</v>
      </c>
      <c r="B101" s="5" t="s">
        <v>1152</v>
      </c>
      <c r="C101" s="11" t="s">
        <v>1153</v>
      </c>
      <c r="D101" s="5" t="s">
        <v>1154</v>
      </c>
      <c r="E101" s="8">
        <v>12974.04</v>
      </c>
      <c r="F101" s="5" t="s">
        <v>10</v>
      </c>
      <c r="G101" s="2" t="s">
        <v>23</v>
      </c>
    </row>
    <row r="102" spans="1:9" x14ac:dyDescent="0.2">
      <c r="A102" s="11">
        <v>89</v>
      </c>
      <c r="B102" s="5" t="s">
        <v>896</v>
      </c>
      <c r="C102" s="11">
        <v>28440665923</v>
      </c>
      <c r="D102" s="5" t="s">
        <v>897</v>
      </c>
      <c r="E102" s="8">
        <v>53.78</v>
      </c>
      <c r="F102" s="5" t="s">
        <v>10</v>
      </c>
      <c r="G102" s="2" t="s">
        <v>330</v>
      </c>
    </row>
    <row r="103" spans="1:9" x14ac:dyDescent="0.2">
      <c r="A103" s="11">
        <v>90</v>
      </c>
      <c r="B103" s="5" t="s">
        <v>305</v>
      </c>
      <c r="C103" s="11" t="s">
        <v>307</v>
      </c>
      <c r="D103" s="5" t="s">
        <v>306</v>
      </c>
      <c r="E103" s="15">
        <v>662</v>
      </c>
      <c r="F103" s="19" t="s">
        <v>10</v>
      </c>
      <c r="G103" s="28" t="s">
        <v>23</v>
      </c>
    </row>
    <row r="104" spans="1:9" x14ac:dyDescent="0.2">
      <c r="A104" s="11">
        <v>91</v>
      </c>
      <c r="B104" s="23" t="s">
        <v>191</v>
      </c>
      <c r="C104" s="24">
        <v>34421776805</v>
      </c>
      <c r="D104" s="23" t="s">
        <v>240</v>
      </c>
      <c r="E104" s="8">
        <v>535.4</v>
      </c>
      <c r="F104" s="44" t="s">
        <v>10</v>
      </c>
      <c r="G104" s="2" t="s">
        <v>192</v>
      </c>
    </row>
    <row r="105" spans="1:9" x14ac:dyDescent="0.2">
      <c r="A105" s="11">
        <v>92</v>
      </c>
      <c r="B105" s="5" t="s">
        <v>17</v>
      </c>
      <c r="C105" s="11" t="s">
        <v>17</v>
      </c>
      <c r="D105" s="5" t="s">
        <v>17</v>
      </c>
      <c r="E105" s="17">
        <v>56.64</v>
      </c>
      <c r="F105" s="33" t="s">
        <v>10</v>
      </c>
      <c r="G105" s="34" t="s">
        <v>635</v>
      </c>
    </row>
    <row r="106" spans="1:9" x14ac:dyDescent="0.2">
      <c r="A106" s="11">
        <v>93</v>
      </c>
      <c r="B106" s="5" t="s">
        <v>17</v>
      </c>
      <c r="C106" s="11" t="s">
        <v>17</v>
      </c>
      <c r="D106" s="5" t="s">
        <v>17</v>
      </c>
      <c r="E106" s="8">
        <v>413.44</v>
      </c>
      <c r="F106" s="5" t="s">
        <v>10</v>
      </c>
      <c r="G106" s="2" t="s">
        <v>194</v>
      </c>
    </row>
    <row r="107" spans="1:9" x14ac:dyDescent="0.2">
      <c r="A107" s="11">
        <v>94</v>
      </c>
      <c r="B107" s="5" t="s">
        <v>272</v>
      </c>
      <c r="C107" s="11">
        <v>96514832734</v>
      </c>
      <c r="D107" s="5" t="s">
        <v>273</v>
      </c>
      <c r="E107" s="8">
        <v>10156.25</v>
      </c>
      <c r="F107" s="5" t="s">
        <v>10</v>
      </c>
      <c r="G107" s="2" t="s">
        <v>23</v>
      </c>
    </row>
    <row r="108" spans="1:9" x14ac:dyDescent="0.2">
      <c r="A108" s="11">
        <v>95</v>
      </c>
      <c r="B108" s="5" t="s">
        <v>787</v>
      </c>
      <c r="C108" s="11" t="s">
        <v>788</v>
      </c>
      <c r="D108" s="5" t="s">
        <v>789</v>
      </c>
      <c r="E108" s="8">
        <v>2072.8000000000002</v>
      </c>
      <c r="F108" s="5" t="s">
        <v>10</v>
      </c>
      <c r="G108" s="2" t="s">
        <v>23</v>
      </c>
    </row>
    <row r="109" spans="1:9" x14ac:dyDescent="0.2">
      <c r="A109" s="11">
        <v>96</v>
      </c>
      <c r="B109" s="5" t="s">
        <v>242</v>
      </c>
      <c r="C109" s="11">
        <v>49800593791</v>
      </c>
      <c r="D109" s="5" t="s">
        <v>244</v>
      </c>
      <c r="E109" s="8">
        <v>10177.11</v>
      </c>
      <c r="F109" s="5" t="s">
        <v>10</v>
      </c>
      <c r="G109" s="2" t="s">
        <v>243</v>
      </c>
    </row>
    <row r="110" spans="1:9" x14ac:dyDescent="0.2">
      <c r="A110" s="11">
        <v>97</v>
      </c>
      <c r="B110" s="19" t="s">
        <v>1155</v>
      </c>
      <c r="C110" s="36">
        <v>58937342416</v>
      </c>
      <c r="D110" s="19" t="s">
        <v>1156</v>
      </c>
      <c r="E110" s="15">
        <v>1023.75</v>
      </c>
      <c r="F110" s="19" t="s">
        <v>10</v>
      </c>
      <c r="G110" s="28" t="s">
        <v>287</v>
      </c>
      <c r="H110" s="13"/>
    </row>
    <row r="111" spans="1:9" x14ac:dyDescent="0.2">
      <c r="A111" s="11">
        <v>98</v>
      </c>
      <c r="B111" s="44" t="s">
        <v>248</v>
      </c>
      <c r="C111" s="45">
        <v>47428597158</v>
      </c>
      <c r="D111" s="44" t="s">
        <v>250</v>
      </c>
      <c r="E111" s="8">
        <v>755</v>
      </c>
      <c r="F111" s="44" t="s">
        <v>10</v>
      </c>
      <c r="G111" s="2" t="s">
        <v>23</v>
      </c>
      <c r="I111" s="13"/>
    </row>
    <row r="112" spans="1:9" x14ac:dyDescent="0.2">
      <c r="A112" s="11">
        <v>99</v>
      </c>
      <c r="B112" s="5" t="s">
        <v>384</v>
      </c>
      <c r="C112" s="11">
        <v>32047404941</v>
      </c>
      <c r="D112" s="5" t="s">
        <v>385</v>
      </c>
      <c r="E112" s="8">
        <v>4443.75</v>
      </c>
      <c r="F112" s="5" t="s">
        <v>10</v>
      </c>
      <c r="G112" s="2" t="s">
        <v>23</v>
      </c>
    </row>
    <row r="113" spans="1:9" x14ac:dyDescent="0.2">
      <c r="A113" s="11">
        <v>100</v>
      </c>
      <c r="B113" s="5" t="s">
        <v>252</v>
      </c>
      <c r="C113" s="12" t="s">
        <v>254</v>
      </c>
      <c r="D113" s="5" t="s">
        <v>253</v>
      </c>
      <c r="E113" s="8">
        <f>316.75+76.12</f>
        <v>392.87</v>
      </c>
      <c r="F113" s="5" t="s">
        <v>10</v>
      </c>
      <c r="G113" s="2" t="s">
        <v>112</v>
      </c>
    </row>
    <row r="114" spans="1:9" x14ac:dyDescent="0.2">
      <c r="A114" s="11">
        <v>101</v>
      </c>
      <c r="B114" s="5" t="s">
        <v>475</v>
      </c>
      <c r="C114" s="12" t="s">
        <v>477</v>
      </c>
      <c r="D114" s="5" t="s">
        <v>1157</v>
      </c>
      <c r="E114" s="8">
        <v>643.75</v>
      </c>
      <c r="F114" s="5" t="s">
        <v>10</v>
      </c>
      <c r="G114" s="2" t="s">
        <v>260</v>
      </c>
    </row>
    <row r="115" spans="1:9" x14ac:dyDescent="0.2">
      <c r="A115" s="11">
        <v>102</v>
      </c>
      <c r="B115" s="5" t="s">
        <v>257</v>
      </c>
      <c r="C115" s="11">
        <v>25392808959</v>
      </c>
      <c r="D115" s="5" t="s">
        <v>258</v>
      </c>
      <c r="E115" s="8">
        <v>25217.85</v>
      </c>
      <c r="F115" s="5" t="s">
        <v>10</v>
      </c>
      <c r="G115" s="2" t="s">
        <v>23</v>
      </c>
      <c r="I115" s="13"/>
    </row>
    <row r="116" spans="1:9" x14ac:dyDescent="0.2">
      <c r="A116" s="11">
        <v>103</v>
      </c>
      <c r="B116" s="5" t="s">
        <v>890</v>
      </c>
      <c r="C116" s="12" t="s">
        <v>892</v>
      </c>
      <c r="D116" s="5" t="s">
        <v>891</v>
      </c>
      <c r="E116" s="8">
        <v>300</v>
      </c>
      <c r="F116" s="5" t="s">
        <v>10</v>
      </c>
      <c r="G116" s="2" t="s">
        <v>23</v>
      </c>
    </row>
    <row r="117" spans="1:9" x14ac:dyDescent="0.2">
      <c r="A117" s="11">
        <v>104</v>
      </c>
      <c r="B117" s="5" t="s">
        <v>974</v>
      </c>
      <c r="C117" s="11">
        <v>89984971143</v>
      </c>
      <c r="D117" s="5" t="s">
        <v>975</v>
      </c>
      <c r="E117" s="8">
        <v>306.88</v>
      </c>
      <c r="F117" s="5" t="s">
        <v>10</v>
      </c>
      <c r="G117" s="2" t="s">
        <v>23</v>
      </c>
    </row>
    <row r="118" spans="1:9" x14ac:dyDescent="0.2">
      <c r="A118" s="11">
        <v>105</v>
      </c>
      <c r="B118" s="5" t="s">
        <v>512</v>
      </c>
      <c r="C118" s="11">
        <v>44284514731</v>
      </c>
      <c r="D118" s="5" t="s">
        <v>514</v>
      </c>
      <c r="E118" s="8">
        <v>2710.44</v>
      </c>
      <c r="F118" s="5" t="s">
        <v>10</v>
      </c>
      <c r="G118" s="2" t="s">
        <v>23</v>
      </c>
    </row>
    <row r="119" spans="1:9" x14ac:dyDescent="0.2">
      <c r="A119" s="11">
        <v>106</v>
      </c>
      <c r="B119" s="5" t="s">
        <v>1158</v>
      </c>
      <c r="C119" s="11">
        <v>13784529096</v>
      </c>
      <c r="D119" s="5" t="s">
        <v>1159</v>
      </c>
      <c r="E119" s="8">
        <v>24.48</v>
      </c>
      <c r="F119" s="5" t="s">
        <v>10</v>
      </c>
      <c r="G119" s="2" t="s">
        <v>23</v>
      </c>
    </row>
    <row r="120" spans="1:9" x14ac:dyDescent="0.2">
      <c r="A120" s="11">
        <v>107</v>
      </c>
      <c r="B120" s="5" t="s">
        <v>709</v>
      </c>
      <c r="C120" s="11">
        <v>34604734054</v>
      </c>
      <c r="D120" s="5" t="s">
        <v>710</v>
      </c>
      <c r="E120" s="8">
        <v>99.56</v>
      </c>
      <c r="F120" s="5" t="s">
        <v>10</v>
      </c>
      <c r="G120" s="2" t="s">
        <v>330</v>
      </c>
      <c r="H120" s="13"/>
    </row>
    <row r="121" spans="1:9" x14ac:dyDescent="0.2">
      <c r="A121" s="11">
        <v>108</v>
      </c>
      <c r="B121" s="5" t="s">
        <v>1160</v>
      </c>
      <c r="C121" s="11">
        <v>89021876450</v>
      </c>
      <c r="D121" s="5" t="s">
        <v>1161</v>
      </c>
      <c r="E121" s="8">
        <v>15</v>
      </c>
      <c r="F121" s="5" t="s">
        <v>10</v>
      </c>
      <c r="G121" s="2" t="s">
        <v>23</v>
      </c>
    </row>
    <row r="122" spans="1:9" x14ac:dyDescent="0.2">
      <c r="A122" s="11">
        <v>109</v>
      </c>
      <c r="B122" s="5" t="s">
        <v>265</v>
      </c>
      <c r="C122" s="11">
        <v>63988426425</v>
      </c>
      <c r="D122" s="5" t="s">
        <v>266</v>
      </c>
      <c r="E122" s="8">
        <v>6987.91</v>
      </c>
      <c r="F122" s="5" t="s">
        <v>10</v>
      </c>
      <c r="G122" s="2" t="s">
        <v>23</v>
      </c>
    </row>
    <row r="123" spans="1:9" x14ac:dyDescent="0.2">
      <c r="A123" s="11">
        <v>110</v>
      </c>
      <c r="B123" s="5" t="s">
        <v>1150</v>
      </c>
      <c r="C123" s="11">
        <v>75989437093</v>
      </c>
      <c r="D123" s="5" t="s">
        <v>1151</v>
      </c>
      <c r="E123" s="8">
        <v>1221.24</v>
      </c>
      <c r="F123" s="5" t="s">
        <v>10</v>
      </c>
      <c r="G123" s="2" t="s">
        <v>23</v>
      </c>
    </row>
    <row r="124" spans="1:9" x14ac:dyDescent="0.2">
      <c r="A124" s="11">
        <v>111</v>
      </c>
      <c r="B124" s="5" t="s">
        <v>102</v>
      </c>
      <c r="C124" s="11">
        <v>981494061</v>
      </c>
      <c r="D124" s="5" t="s">
        <v>103</v>
      </c>
      <c r="E124" s="8">
        <v>836.34</v>
      </c>
      <c r="F124" s="5" t="s">
        <v>10</v>
      </c>
      <c r="G124" s="2" t="s">
        <v>62</v>
      </c>
    </row>
    <row r="125" spans="1:9" x14ac:dyDescent="0.2">
      <c r="A125" s="11">
        <v>112</v>
      </c>
      <c r="B125" s="5" t="s">
        <v>691</v>
      </c>
      <c r="C125" s="11">
        <v>31826907316</v>
      </c>
      <c r="D125" s="5" t="s">
        <v>692</v>
      </c>
      <c r="E125" s="8">
        <v>3124.1</v>
      </c>
      <c r="F125" s="5" t="s">
        <v>10</v>
      </c>
      <c r="G125" s="2" t="s">
        <v>23</v>
      </c>
    </row>
    <row r="126" spans="1:9" x14ac:dyDescent="0.2">
      <c r="A126" s="11">
        <v>113</v>
      </c>
      <c r="B126" s="5" t="s">
        <v>1163</v>
      </c>
      <c r="C126" s="11">
        <v>11085290021</v>
      </c>
      <c r="D126" s="5" t="s">
        <v>1162</v>
      </c>
      <c r="E126" s="8">
        <v>1076</v>
      </c>
      <c r="F126" s="5" t="s">
        <v>10</v>
      </c>
      <c r="G126" s="2" t="s">
        <v>130</v>
      </c>
    </row>
    <row r="127" spans="1:9" x14ac:dyDescent="0.2">
      <c r="A127" s="11">
        <v>114</v>
      </c>
      <c r="B127" s="5" t="s">
        <v>125</v>
      </c>
      <c r="C127" s="11">
        <v>15429488788</v>
      </c>
      <c r="D127" s="5" t="s">
        <v>126</v>
      </c>
      <c r="E127" s="8">
        <v>4041.48</v>
      </c>
      <c r="F127" s="5" t="s">
        <v>10</v>
      </c>
      <c r="G127" s="2" t="s">
        <v>449</v>
      </c>
    </row>
    <row r="128" spans="1:9" x14ac:dyDescent="0.2">
      <c r="A128" s="11">
        <v>115</v>
      </c>
      <c r="B128" s="5" t="s">
        <v>1164</v>
      </c>
      <c r="C128" s="12" t="s">
        <v>1166</v>
      </c>
      <c r="D128" s="5" t="s">
        <v>1165</v>
      </c>
      <c r="E128" s="8">
        <v>102.89</v>
      </c>
      <c r="F128" s="5" t="s">
        <v>10</v>
      </c>
      <c r="G128" s="2" t="s">
        <v>176</v>
      </c>
    </row>
    <row r="129" spans="1:7" x14ac:dyDescent="0.2">
      <c r="A129" s="11">
        <v>116</v>
      </c>
      <c r="B129" s="5" t="s">
        <v>393</v>
      </c>
      <c r="C129" s="11">
        <v>90439696130</v>
      </c>
      <c r="D129" s="5" t="s">
        <v>394</v>
      </c>
      <c r="E129" s="8">
        <v>60.8</v>
      </c>
      <c r="F129" s="5" t="s">
        <v>10</v>
      </c>
      <c r="G129" s="2" t="s">
        <v>23</v>
      </c>
    </row>
    <row r="130" spans="1:7" x14ac:dyDescent="0.2">
      <c r="A130" s="11">
        <v>117</v>
      </c>
      <c r="B130" s="5" t="s">
        <v>1025</v>
      </c>
      <c r="C130" s="11" t="s">
        <v>1026</v>
      </c>
      <c r="D130" s="5" t="s">
        <v>1027</v>
      </c>
      <c r="E130" s="8">
        <v>2095.88</v>
      </c>
      <c r="F130" s="5" t="s">
        <v>10</v>
      </c>
      <c r="G130" s="2" t="s">
        <v>23</v>
      </c>
    </row>
    <row r="131" spans="1:7" x14ac:dyDescent="0.2">
      <c r="A131" s="11">
        <v>118</v>
      </c>
      <c r="B131" s="5" t="s">
        <v>798</v>
      </c>
      <c r="C131" s="11">
        <v>84082732674</v>
      </c>
      <c r="D131" s="5" t="s">
        <v>799</v>
      </c>
      <c r="E131" s="8">
        <v>753.49</v>
      </c>
      <c r="F131" s="5" t="s">
        <v>10</v>
      </c>
      <c r="G131" s="2" t="s">
        <v>449</v>
      </c>
    </row>
    <row r="132" spans="1:7" x14ac:dyDescent="0.2">
      <c r="A132" s="11">
        <v>119</v>
      </c>
      <c r="B132" s="5" t="s">
        <v>276</v>
      </c>
      <c r="C132" s="11">
        <v>64546066176</v>
      </c>
      <c r="D132" s="5" t="s">
        <v>277</v>
      </c>
      <c r="E132" s="8">
        <v>10.69</v>
      </c>
      <c r="F132" s="5" t="s">
        <v>10</v>
      </c>
      <c r="G132" s="2" t="s">
        <v>23</v>
      </c>
    </row>
    <row r="133" spans="1:7" x14ac:dyDescent="0.2">
      <c r="A133" s="11">
        <v>120</v>
      </c>
      <c r="B133" s="19" t="s">
        <v>274</v>
      </c>
      <c r="C133" s="36">
        <v>18991729117</v>
      </c>
      <c r="D133" s="19" t="s">
        <v>275</v>
      </c>
      <c r="E133" s="15">
        <v>600</v>
      </c>
      <c r="F133" s="19" t="s">
        <v>10</v>
      </c>
      <c r="G133" s="28" t="s">
        <v>287</v>
      </c>
    </row>
    <row r="134" spans="1:7" x14ac:dyDescent="0.2">
      <c r="A134" s="11">
        <v>121</v>
      </c>
      <c r="B134" s="50" t="s">
        <v>293</v>
      </c>
      <c r="C134" s="45">
        <v>65952859647</v>
      </c>
      <c r="D134" s="44" t="s">
        <v>295</v>
      </c>
      <c r="E134" s="8">
        <v>5291</v>
      </c>
      <c r="F134" s="50" t="s">
        <v>10</v>
      </c>
      <c r="G134" s="2" t="s">
        <v>294</v>
      </c>
    </row>
    <row r="135" spans="1:7" x14ac:dyDescent="0.2">
      <c r="A135" s="11">
        <v>122</v>
      </c>
      <c r="B135" s="33" t="s">
        <v>296</v>
      </c>
      <c r="C135" s="37">
        <v>83416546499</v>
      </c>
      <c r="D135" s="33" t="s">
        <v>299</v>
      </c>
      <c r="E135" s="17">
        <v>37.49</v>
      </c>
      <c r="F135" s="33" t="s">
        <v>10</v>
      </c>
      <c r="G135" s="34" t="s">
        <v>64</v>
      </c>
    </row>
    <row r="136" spans="1:7" x14ac:dyDescent="0.2">
      <c r="A136" s="11">
        <v>123</v>
      </c>
      <c r="B136" s="5" t="s">
        <v>284</v>
      </c>
      <c r="C136" s="11">
        <v>10235187780</v>
      </c>
      <c r="D136" s="5" t="s">
        <v>286</v>
      </c>
      <c r="E136" s="8">
        <v>324.77999999999997</v>
      </c>
      <c r="F136" s="5" t="s">
        <v>10</v>
      </c>
      <c r="G136" s="2" t="s">
        <v>285</v>
      </c>
    </row>
    <row r="137" spans="1:7" x14ac:dyDescent="0.2">
      <c r="A137" s="11">
        <v>124</v>
      </c>
      <c r="B137" s="5" t="s">
        <v>1167</v>
      </c>
      <c r="C137" s="11" t="s">
        <v>436</v>
      </c>
      <c r="D137" s="5" t="s">
        <v>435</v>
      </c>
      <c r="E137" s="8">
        <v>1696.8</v>
      </c>
      <c r="F137" s="5" t="s">
        <v>10</v>
      </c>
      <c r="G137" s="2" t="s">
        <v>23</v>
      </c>
    </row>
    <row r="138" spans="1:7" x14ac:dyDescent="0.2">
      <c r="A138" s="11">
        <v>125</v>
      </c>
      <c r="B138" s="5" t="s">
        <v>301</v>
      </c>
      <c r="C138" s="11">
        <v>60314119747</v>
      </c>
      <c r="D138" s="5" t="s">
        <v>298</v>
      </c>
      <c r="E138" s="8">
        <v>63357.39</v>
      </c>
      <c r="F138" s="5" t="s">
        <v>10</v>
      </c>
      <c r="G138" s="2" t="s">
        <v>23</v>
      </c>
    </row>
    <row r="139" spans="1:7" x14ac:dyDescent="0.2">
      <c r="A139" s="11">
        <v>126</v>
      </c>
      <c r="B139" s="5" t="s">
        <v>302</v>
      </c>
      <c r="C139" s="11" t="s">
        <v>303</v>
      </c>
      <c r="D139" s="5" t="s">
        <v>304</v>
      </c>
      <c r="E139" s="8">
        <v>3230.53</v>
      </c>
      <c r="F139" s="5" t="s">
        <v>10</v>
      </c>
      <c r="G139" s="2" t="s">
        <v>23</v>
      </c>
    </row>
    <row r="140" spans="1:7" x14ac:dyDescent="0.2">
      <c r="A140" s="11">
        <v>127</v>
      </c>
      <c r="B140" s="5" t="s">
        <v>912</v>
      </c>
      <c r="C140" s="11">
        <v>52909770220</v>
      </c>
      <c r="D140" s="5" t="s">
        <v>89</v>
      </c>
      <c r="E140" s="8">
        <v>2026.25</v>
      </c>
      <c r="F140" s="5" t="s">
        <v>10</v>
      </c>
      <c r="G140" s="2" t="s">
        <v>86</v>
      </c>
    </row>
    <row r="141" spans="1:7" x14ac:dyDescent="0.2">
      <c r="A141" s="11">
        <v>128</v>
      </c>
      <c r="B141" s="5" t="s">
        <v>308</v>
      </c>
      <c r="C141" s="12" t="s">
        <v>310</v>
      </c>
      <c r="D141" s="5" t="s">
        <v>309</v>
      </c>
      <c r="E141" s="8">
        <v>30000</v>
      </c>
      <c r="F141" s="5" t="s">
        <v>10</v>
      </c>
      <c r="G141" s="2" t="s">
        <v>23</v>
      </c>
    </row>
    <row r="142" spans="1:7" x14ac:dyDescent="0.2">
      <c r="A142" s="11">
        <v>129</v>
      </c>
      <c r="B142" s="5" t="s">
        <v>311</v>
      </c>
      <c r="C142" s="11">
        <v>95243482140</v>
      </c>
      <c r="D142" s="5" t="s">
        <v>312</v>
      </c>
      <c r="E142" s="8">
        <v>2747.63</v>
      </c>
      <c r="F142" s="5" t="s">
        <v>10</v>
      </c>
      <c r="G142" s="2" t="s">
        <v>23</v>
      </c>
    </row>
    <row r="143" spans="1:7" x14ac:dyDescent="0.2">
      <c r="A143" s="11">
        <v>130</v>
      </c>
      <c r="B143" s="5" t="s">
        <v>1171</v>
      </c>
      <c r="C143" s="11">
        <v>59246334030</v>
      </c>
      <c r="D143" s="5" t="s">
        <v>1172</v>
      </c>
      <c r="E143" s="8">
        <v>733</v>
      </c>
      <c r="F143" s="5" t="s">
        <v>10</v>
      </c>
      <c r="G143" s="2" t="s">
        <v>147</v>
      </c>
    </row>
    <row r="144" spans="1:7" x14ac:dyDescent="0.2">
      <c r="A144" s="11">
        <v>131</v>
      </c>
      <c r="B144" s="5" t="s">
        <v>315</v>
      </c>
      <c r="C144" s="11">
        <v>98656691838</v>
      </c>
      <c r="D144" s="5" t="s">
        <v>316</v>
      </c>
      <c r="E144" s="8">
        <v>2975</v>
      </c>
      <c r="F144" s="5" t="s">
        <v>10</v>
      </c>
      <c r="G144" s="2" t="s">
        <v>23</v>
      </c>
    </row>
    <row r="145" spans="1:12" x14ac:dyDescent="0.2">
      <c r="A145" s="11">
        <v>132</v>
      </c>
      <c r="B145" s="5" t="s">
        <v>1168</v>
      </c>
      <c r="C145" s="12" t="s">
        <v>1170</v>
      </c>
      <c r="D145" s="5" t="s">
        <v>1169</v>
      </c>
      <c r="E145" s="8">
        <v>62.5</v>
      </c>
      <c r="F145" s="5" t="s">
        <v>10</v>
      </c>
      <c r="G145" s="2" t="s">
        <v>176</v>
      </c>
    </row>
    <row r="146" spans="1:12" x14ac:dyDescent="0.2">
      <c r="A146" s="11">
        <v>133</v>
      </c>
      <c r="B146" s="5" t="s">
        <v>321</v>
      </c>
      <c r="C146" s="11">
        <v>66346732180</v>
      </c>
      <c r="D146" s="5" t="s">
        <v>322</v>
      </c>
      <c r="E146" s="8">
        <v>981.25</v>
      </c>
      <c r="F146" s="5" t="s">
        <v>10</v>
      </c>
      <c r="G146" s="2" t="s">
        <v>243</v>
      </c>
    </row>
    <row r="147" spans="1:12" x14ac:dyDescent="0.2">
      <c r="A147" s="11">
        <v>134</v>
      </c>
      <c r="B147" s="5" t="s">
        <v>323</v>
      </c>
      <c r="C147" s="11">
        <v>15907062900</v>
      </c>
      <c r="D147" s="5" t="s">
        <v>325</v>
      </c>
      <c r="E147" s="8">
        <v>4417.71</v>
      </c>
      <c r="F147" s="5" t="s">
        <v>10</v>
      </c>
      <c r="G147" s="2" t="s">
        <v>324</v>
      </c>
    </row>
    <row r="148" spans="1:12" x14ac:dyDescent="0.2">
      <c r="A148" s="11">
        <v>135</v>
      </c>
      <c r="B148" s="23" t="s">
        <v>1173</v>
      </c>
      <c r="C148" s="24">
        <v>69638067216</v>
      </c>
      <c r="D148" s="23" t="s">
        <v>562</v>
      </c>
      <c r="E148" s="8">
        <v>209.88</v>
      </c>
      <c r="F148" s="5" t="s">
        <v>10</v>
      </c>
      <c r="G148" s="2" t="s">
        <v>23</v>
      </c>
    </row>
    <row r="149" spans="1:12" x14ac:dyDescent="0.2">
      <c r="A149" s="11">
        <v>136</v>
      </c>
      <c r="B149" s="5" t="s">
        <v>1174</v>
      </c>
      <c r="C149" s="11" t="s">
        <v>1175</v>
      </c>
      <c r="D149" s="5" t="s">
        <v>1176</v>
      </c>
      <c r="E149" s="8">
        <v>1012</v>
      </c>
      <c r="F149" s="5" t="s">
        <v>10</v>
      </c>
      <c r="G149" s="2" t="s">
        <v>23</v>
      </c>
    </row>
    <row r="150" spans="1:12" x14ac:dyDescent="0.2">
      <c r="A150" s="11">
        <v>137</v>
      </c>
      <c r="B150" s="5" t="s">
        <v>332</v>
      </c>
      <c r="C150" s="12" t="s">
        <v>334</v>
      </c>
      <c r="D150" s="5" t="s">
        <v>333</v>
      </c>
      <c r="E150" s="8">
        <v>184.34</v>
      </c>
      <c r="F150" s="5" t="s">
        <v>10</v>
      </c>
      <c r="G150" s="2" t="s">
        <v>330</v>
      </c>
    </row>
    <row r="151" spans="1:12" x14ac:dyDescent="0.2">
      <c r="A151" s="11">
        <v>138</v>
      </c>
      <c r="B151" s="5" t="s">
        <v>1177</v>
      </c>
      <c r="C151" s="11">
        <v>86252349701</v>
      </c>
      <c r="D151" s="5" t="s">
        <v>1178</v>
      </c>
      <c r="E151" s="8">
        <v>3637.5</v>
      </c>
      <c r="F151" s="5" t="s">
        <v>10</v>
      </c>
      <c r="G151" s="2" t="s">
        <v>23</v>
      </c>
    </row>
    <row r="152" spans="1:12" x14ac:dyDescent="0.2">
      <c r="A152" s="11">
        <v>139</v>
      </c>
      <c r="B152" s="5" t="s">
        <v>337</v>
      </c>
      <c r="C152" s="11">
        <v>97994010225</v>
      </c>
      <c r="D152" s="5" t="s">
        <v>338</v>
      </c>
      <c r="E152" s="8">
        <v>934.02</v>
      </c>
      <c r="F152" s="5" t="s">
        <v>10</v>
      </c>
      <c r="G152" s="2" t="s">
        <v>23</v>
      </c>
    </row>
    <row r="153" spans="1:12" x14ac:dyDescent="0.2">
      <c r="A153" s="11">
        <v>140</v>
      </c>
      <c r="B153" s="5" t="s">
        <v>182</v>
      </c>
      <c r="C153" s="12" t="s">
        <v>234</v>
      </c>
      <c r="D153" s="5" t="s">
        <v>233</v>
      </c>
      <c r="E153" s="8">
        <v>844.58</v>
      </c>
      <c r="F153" s="5" t="s">
        <v>10</v>
      </c>
      <c r="G153" s="2" t="s">
        <v>23</v>
      </c>
    </row>
    <row r="154" spans="1:12" x14ac:dyDescent="0.2">
      <c r="A154" s="11">
        <v>141</v>
      </c>
      <c r="B154" s="5" t="s">
        <v>341</v>
      </c>
      <c r="C154" s="11">
        <v>78969071801</v>
      </c>
      <c r="D154" s="5" t="s">
        <v>342</v>
      </c>
      <c r="E154" s="8">
        <v>3173.6</v>
      </c>
      <c r="F154" s="5" t="s">
        <v>10</v>
      </c>
      <c r="G154" s="2" t="s">
        <v>23</v>
      </c>
      <c r="J154" s="13"/>
    </row>
    <row r="155" spans="1:12" x14ac:dyDescent="0.2">
      <c r="A155" s="11">
        <v>142</v>
      </c>
      <c r="B155" s="5" t="s">
        <v>565</v>
      </c>
      <c r="C155" s="12" t="s">
        <v>567</v>
      </c>
      <c r="D155" s="5" t="s">
        <v>566</v>
      </c>
      <c r="E155" s="8">
        <v>320.25</v>
      </c>
      <c r="F155" s="5" t="s">
        <v>10</v>
      </c>
      <c r="G155" s="2" t="s">
        <v>23</v>
      </c>
    </row>
    <row r="156" spans="1:12" x14ac:dyDescent="0.2">
      <c r="A156" s="11">
        <v>143</v>
      </c>
      <c r="B156" s="5" t="s">
        <v>347</v>
      </c>
      <c r="C156" s="11">
        <v>51892779522</v>
      </c>
      <c r="D156" s="5" t="s">
        <v>348</v>
      </c>
      <c r="E156" s="8">
        <v>3125</v>
      </c>
      <c r="F156" s="5" t="s">
        <v>10</v>
      </c>
      <c r="G156" s="2" t="s">
        <v>23</v>
      </c>
      <c r="L156" s="21"/>
    </row>
    <row r="157" spans="1:12" x14ac:dyDescent="0.2">
      <c r="A157" s="11">
        <v>144</v>
      </c>
      <c r="B157" s="5" t="s">
        <v>432</v>
      </c>
      <c r="C157" s="11">
        <v>48633701387</v>
      </c>
      <c r="D157" s="5" t="s">
        <v>433</v>
      </c>
      <c r="E157" s="8">
        <v>76.11</v>
      </c>
      <c r="F157" s="5" t="s">
        <v>10</v>
      </c>
      <c r="G157" s="2" t="s">
        <v>23</v>
      </c>
    </row>
    <row r="158" spans="1:12" x14ac:dyDescent="0.2">
      <c r="A158" s="11">
        <v>145</v>
      </c>
      <c r="B158" s="5" t="s">
        <v>746</v>
      </c>
      <c r="C158" s="11">
        <v>97446189704</v>
      </c>
      <c r="D158" s="5" t="s">
        <v>747</v>
      </c>
      <c r="E158" s="8">
        <v>282.88</v>
      </c>
      <c r="F158" s="5" t="s">
        <v>10</v>
      </c>
      <c r="G158" s="2" t="s">
        <v>243</v>
      </c>
    </row>
    <row r="159" spans="1:12" x14ac:dyDescent="0.2">
      <c r="A159" s="11">
        <v>146</v>
      </c>
      <c r="B159" s="5" t="s">
        <v>374</v>
      </c>
      <c r="C159" s="11">
        <v>48249084626</v>
      </c>
      <c r="D159" s="5" t="s">
        <v>375</v>
      </c>
      <c r="E159" s="8">
        <v>1111.06</v>
      </c>
      <c r="F159" s="5" t="s">
        <v>10</v>
      </c>
      <c r="G159" s="2" t="s">
        <v>23</v>
      </c>
    </row>
    <row r="160" spans="1:12" x14ac:dyDescent="0.2">
      <c r="A160" s="11">
        <v>147</v>
      </c>
      <c r="B160" s="5" t="s">
        <v>376</v>
      </c>
      <c r="C160" s="11">
        <v>26901839603</v>
      </c>
      <c r="D160" s="5" t="s">
        <v>377</v>
      </c>
      <c r="E160" s="8">
        <v>1269.6099999999999</v>
      </c>
      <c r="F160" s="5" t="s">
        <v>10</v>
      </c>
      <c r="G160" s="2" t="s">
        <v>23</v>
      </c>
    </row>
    <row r="161" spans="1:7" x14ac:dyDescent="0.2">
      <c r="A161" s="11">
        <v>148</v>
      </c>
      <c r="B161" s="5" t="s">
        <v>1179</v>
      </c>
      <c r="C161" s="11">
        <v>21926472791</v>
      </c>
      <c r="D161" s="5" t="s">
        <v>1180</v>
      </c>
      <c r="E161" s="8">
        <v>301.25</v>
      </c>
      <c r="F161" s="5" t="s">
        <v>10</v>
      </c>
      <c r="G161" s="2" t="s">
        <v>23</v>
      </c>
    </row>
    <row r="162" spans="1:7" x14ac:dyDescent="0.2">
      <c r="A162" s="11">
        <v>149</v>
      </c>
      <c r="B162" s="5" t="s">
        <v>1181</v>
      </c>
      <c r="C162" s="12">
        <v>58187157652</v>
      </c>
      <c r="D162" s="5" t="s">
        <v>1182</v>
      </c>
      <c r="E162" s="8">
        <v>2478.75</v>
      </c>
      <c r="F162" s="5" t="s">
        <v>10</v>
      </c>
      <c r="G162" s="2" t="s">
        <v>287</v>
      </c>
    </row>
    <row r="163" spans="1:7" x14ac:dyDescent="0.2">
      <c r="A163" s="11">
        <v>150</v>
      </c>
      <c r="B163" s="5" t="s">
        <v>382</v>
      </c>
      <c r="C163" s="11">
        <v>76080865307</v>
      </c>
      <c r="D163" s="5" t="s">
        <v>383</v>
      </c>
      <c r="E163" s="8">
        <v>38.159999999999997</v>
      </c>
      <c r="F163" s="5" t="s">
        <v>10</v>
      </c>
      <c r="G163" s="2" t="s">
        <v>287</v>
      </c>
    </row>
    <row r="164" spans="1:7" x14ac:dyDescent="0.2">
      <c r="A164" s="11">
        <v>151</v>
      </c>
      <c r="B164" s="5" t="s">
        <v>386</v>
      </c>
      <c r="C164" s="11">
        <v>60365429880</v>
      </c>
      <c r="D164" s="5" t="s">
        <v>387</v>
      </c>
      <c r="E164" s="8">
        <v>197.44</v>
      </c>
      <c r="F164" s="5" t="s">
        <v>10</v>
      </c>
      <c r="G164" s="2" t="s">
        <v>23</v>
      </c>
    </row>
    <row r="165" spans="1:7" x14ac:dyDescent="0.2">
      <c r="A165" s="11">
        <v>152</v>
      </c>
      <c r="B165" s="5" t="s">
        <v>391</v>
      </c>
      <c r="C165" s="11">
        <v>37879152548</v>
      </c>
      <c r="D165" s="5" t="s">
        <v>392</v>
      </c>
      <c r="E165" s="8">
        <v>2577.1799999999998</v>
      </c>
      <c r="F165" s="5" t="s">
        <v>10</v>
      </c>
      <c r="G165" s="2" t="s">
        <v>23</v>
      </c>
    </row>
    <row r="166" spans="1:7" x14ac:dyDescent="0.2">
      <c r="A166" s="11">
        <v>153</v>
      </c>
      <c r="B166" s="5" t="s">
        <v>459</v>
      </c>
      <c r="C166" s="11">
        <v>64008199572</v>
      </c>
      <c r="D166" s="5" t="s">
        <v>460</v>
      </c>
      <c r="E166" s="8">
        <v>344.4</v>
      </c>
      <c r="F166" s="5" t="s">
        <v>10</v>
      </c>
      <c r="G166" s="2" t="s">
        <v>23</v>
      </c>
    </row>
    <row r="167" spans="1:7" x14ac:dyDescent="0.2">
      <c r="A167" s="11">
        <v>154</v>
      </c>
      <c r="B167" s="5" t="s">
        <v>395</v>
      </c>
      <c r="C167" s="11">
        <v>39048902955</v>
      </c>
      <c r="D167" s="5" t="s">
        <v>396</v>
      </c>
      <c r="E167" s="8">
        <v>836.09</v>
      </c>
      <c r="F167" s="5" t="s">
        <v>10</v>
      </c>
      <c r="G167" s="2" t="s">
        <v>64</v>
      </c>
    </row>
    <row r="168" spans="1:7" x14ac:dyDescent="0.2">
      <c r="A168" s="11">
        <v>155</v>
      </c>
      <c r="B168" s="5" t="s">
        <v>397</v>
      </c>
      <c r="C168" s="11">
        <v>85375838060</v>
      </c>
      <c r="D168" s="5" t="s">
        <v>398</v>
      </c>
      <c r="E168" s="8">
        <v>28.55</v>
      </c>
      <c r="F168" s="5" t="s">
        <v>10</v>
      </c>
      <c r="G168" s="2" t="s">
        <v>64</v>
      </c>
    </row>
    <row r="169" spans="1:7" x14ac:dyDescent="0.2">
      <c r="A169" s="11">
        <v>156</v>
      </c>
      <c r="B169" s="5" t="s">
        <v>1183</v>
      </c>
      <c r="C169" s="11">
        <v>98887516063</v>
      </c>
      <c r="D169" s="5" t="s">
        <v>1184</v>
      </c>
      <c r="E169" s="8">
        <v>1543.5</v>
      </c>
      <c r="F169" s="5" t="s">
        <v>10</v>
      </c>
      <c r="G169" s="2" t="s">
        <v>23</v>
      </c>
    </row>
    <row r="170" spans="1:7" x14ac:dyDescent="0.2">
      <c r="A170" s="11">
        <v>157</v>
      </c>
      <c r="B170" s="5" t="s">
        <v>401</v>
      </c>
      <c r="C170" s="11">
        <v>55614719992</v>
      </c>
      <c r="D170" s="5" t="s">
        <v>402</v>
      </c>
      <c r="E170" s="8">
        <v>1445.96</v>
      </c>
      <c r="F170" s="5" t="s">
        <v>10</v>
      </c>
      <c r="G170" s="2" t="s">
        <v>23</v>
      </c>
    </row>
    <row r="171" spans="1:7" x14ac:dyDescent="0.2">
      <c r="A171" s="11">
        <v>158</v>
      </c>
      <c r="B171" s="5" t="s">
        <v>403</v>
      </c>
      <c r="C171" s="11">
        <v>95325472047</v>
      </c>
      <c r="D171" s="5" t="s">
        <v>404</v>
      </c>
      <c r="E171" s="8">
        <v>112.5</v>
      </c>
      <c r="F171" s="5" t="s">
        <v>10</v>
      </c>
      <c r="G171" s="2" t="s">
        <v>23</v>
      </c>
    </row>
    <row r="172" spans="1:7" x14ac:dyDescent="0.2">
      <c r="A172" s="11">
        <v>159</v>
      </c>
      <c r="B172" s="5" t="s">
        <v>1185</v>
      </c>
      <c r="C172" s="11">
        <v>87565323632</v>
      </c>
      <c r="D172" s="5" t="s">
        <v>1186</v>
      </c>
      <c r="E172" s="8">
        <v>60.46</v>
      </c>
      <c r="F172" s="5" t="s">
        <v>10</v>
      </c>
      <c r="G172" s="2" t="s">
        <v>287</v>
      </c>
    </row>
    <row r="173" spans="1:7" x14ac:dyDescent="0.2">
      <c r="A173" s="11">
        <v>160</v>
      </c>
      <c r="B173" s="5" t="s">
        <v>1187</v>
      </c>
      <c r="C173" s="11">
        <v>43906207302</v>
      </c>
      <c r="D173" s="5" t="s">
        <v>1188</v>
      </c>
      <c r="E173" s="8">
        <v>65.3</v>
      </c>
      <c r="F173" s="5" t="s">
        <v>10</v>
      </c>
      <c r="G173" s="2" t="s">
        <v>173</v>
      </c>
    </row>
    <row r="174" spans="1:7" x14ac:dyDescent="0.2">
      <c r="A174" s="11">
        <v>161</v>
      </c>
      <c r="B174" s="5" t="s">
        <v>411</v>
      </c>
      <c r="C174" s="11">
        <v>110752628</v>
      </c>
      <c r="D174" s="5" t="s">
        <v>414</v>
      </c>
      <c r="E174" s="8">
        <v>3603.67</v>
      </c>
      <c r="F174" s="5" t="s">
        <v>10</v>
      </c>
      <c r="G174" s="2" t="s">
        <v>23</v>
      </c>
    </row>
    <row r="175" spans="1:7" x14ac:dyDescent="0.2">
      <c r="A175" s="11">
        <v>162</v>
      </c>
      <c r="B175" s="5" t="s">
        <v>412</v>
      </c>
      <c r="C175" s="11">
        <v>85611744662</v>
      </c>
      <c r="D175" s="5" t="s">
        <v>413</v>
      </c>
      <c r="E175" s="8">
        <v>813.74</v>
      </c>
      <c r="F175" s="5" t="s">
        <v>10</v>
      </c>
      <c r="G175" s="2" t="s">
        <v>23</v>
      </c>
    </row>
    <row r="176" spans="1:7" x14ac:dyDescent="0.2">
      <c r="A176" s="11">
        <v>163</v>
      </c>
      <c r="B176" s="5" t="s">
        <v>517</v>
      </c>
      <c r="C176" s="11">
        <v>79378753915</v>
      </c>
      <c r="D176" s="5" t="s">
        <v>518</v>
      </c>
      <c r="E176" s="8">
        <v>667.31</v>
      </c>
      <c r="F176" s="5" t="s">
        <v>10</v>
      </c>
      <c r="G176" s="2" t="s">
        <v>23</v>
      </c>
    </row>
    <row r="177" spans="1:7" x14ac:dyDescent="0.2">
      <c r="A177" s="11">
        <v>164</v>
      </c>
      <c r="B177" s="5" t="s">
        <v>267</v>
      </c>
      <c r="C177" s="12" t="s">
        <v>269</v>
      </c>
      <c r="D177" s="5" t="s">
        <v>268</v>
      </c>
      <c r="E177" s="8">
        <v>7202.5</v>
      </c>
      <c r="F177" s="5" t="s">
        <v>10</v>
      </c>
      <c r="G177" s="2" t="s">
        <v>23</v>
      </c>
    </row>
    <row r="178" spans="1:7" x14ac:dyDescent="0.2">
      <c r="A178" s="11">
        <v>165</v>
      </c>
      <c r="B178" s="5" t="s">
        <v>428</v>
      </c>
      <c r="C178" s="11">
        <v>53785632625</v>
      </c>
      <c r="D178" s="5" t="s">
        <v>429</v>
      </c>
      <c r="E178" s="8">
        <v>1281.31</v>
      </c>
      <c r="F178" s="5" t="s">
        <v>10</v>
      </c>
      <c r="G178" s="2" t="s">
        <v>23</v>
      </c>
    </row>
    <row r="179" spans="1:7" x14ac:dyDescent="0.2">
      <c r="A179" s="11">
        <v>166</v>
      </c>
      <c r="B179" s="5" t="s">
        <v>1189</v>
      </c>
      <c r="C179" s="11">
        <v>37639806727</v>
      </c>
      <c r="D179" s="5" t="s">
        <v>1190</v>
      </c>
      <c r="E179" s="8">
        <v>600</v>
      </c>
      <c r="F179" s="5" t="s">
        <v>10</v>
      </c>
      <c r="G179" s="2" t="s">
        <v>1191</v>
      </c>
    </row>
    <row r="180" spans="1:7" x14ac:dyDescent="0.2">
      <c r="A180" s="11">
        <v>167</v>
      </c>
      <c r="B180" s="5" t="s">
        <v>1192</v>
      </c>
      <c r="C180" s="11">
        <v>14273924910</v>
      </c>
      <c r="D180" s="5" t="s">
        <v>228</v>
      </c>
      <c r="E180" s="8">
        <v>937.5</v>
      </c>
      <c r="F180" s="5" t="s">
        <v>10</v>
      </c>
      <c r="G180" s="2" t="s">
        <v>176</v>
      </c>
    </row>
    <row r="181" spans="1:7" x14ac:dyDescent="0.2">
      <c r="A181" s="11">
        <v>168</v>
      </c>
      <c r="B181" s="5" t="s">
        <v>407</v>
      </c>
      <c r="C181" s="11">
        <v>89027343720</v>
      </c>
      <c r="D181" s="5" t="s">
        <v>408</v>
      </c>
      <c r="E181" s="8">
        <v>671.87</v>
      </c>
      <c r="F181" s="5" t="s">
        <v>10</v>
      </c>
      <c r="G181" s="2" t="s">
        <v>23</v>
      </c>
    </row>
    <row r="182" spans="1:7" x14ac:dyDescent="0.2">
      <c r="A182" s="11">
        <v>169</v>
      </c>
      <c r="B182" s="5" t="s">
        <v>1193</v>
      </c>
      <c r="C182" s="11">
        <v>84996591256</v>
      </c>
      <c r="D182" s="5" t="s">
        <v>643</v>
      </c>
      <c r="E182" s="8">
        <v>162.93</v>
      </c>
      <c r="F182" s="5" t="s">
        <v>10</v>
      </c>
      <c r="G182" s="2" t="s">
        <v>23</v>
      </c>
    </row>
    <row r="183" spans="1:7" x14ac:dyDescent="0.2">
      <c r="A183" s="11">
        <v>170</v>
      </c>
      <c r="B183" s="5" t="s">
        <v>439</v>
      </c>
      <c r="C183" s="11">
        <v>48841983787</v>
      </c>
      <c r="D183" s="5" t="s">
        <v>440</v>
      </c>
      <c r="E183" s="8">
        <v>3252.94</v>
      </c>
      <c r="F183" s="5" t="s">
        <v>10</v>
      </c>
      <c r="G183" s="2" t="s">
        <v>23</v>
      </c>
    </row>
    <row r="184" spans="1:7" x14ac:dyDescent="0.2">
      <c r="A184" s="11">
        <v>171</v>
      </c>
      <c r="B184" s="5" t="s">
        <v>1194</v>
      </c>
      <c r="C184" s="11" t="s">
        <v>717</v>
      </c>
      <c r="D184" s="5" t="s">
        <v>718</v>
      </c>
      <c r="E184" s="8">
        <v>561</v>
      </c>
      <c r="F184" s="5" t="s">
        <v>10</v>
      </c>
      <c r="G184" s="2" t="s">
        <v>23</v>
      </c>
    </row>
    <row r="185" spans="1:7" x14ac:dyDescent="0.2">
      <c r="A185" s="11">
        <v>172</v>
      </c>
      <c r="B185" s="5" t="s">
        <v>573</v>
      </c>
      <c r="C185" s="11">
        <v>56862872842</v>
      </c>
      <c r="D185" s="5" t="s">
        <v>594</v>
      </c>
      <c r="E185" s="8">
        <v>125</v>
      </c>
      <c r="F185" s="5" t="s">
        <v>10</v>
      </c>
      <c r="G185" s="2" t="s">
        <v>23</v>
      </c>
    </row>
    <row r="186" spans="1:7" x14ac:dyDescent="0.2">
      <c r="A186" s="11">
        <v>173</v>
      </c>
      <c r="B186" s="5" t="s">
        <v>1195</v>
      </c>
      <c r="C186" s="11" t="s">
        <v>1197</v>
      </c>
      <c r="D186" s="5" t="s">
        <v>1196</v>
      </c>
      <c r="E186" s="8">
        <v>130</v>
      </c>
      <c r="F186" s="5" t="s">
        <v>10</v>
      </c>
      <c r="G186" s="2" t="s">
        <v>23</v>
      </c>
    </row>
    <row r="187" spans="1:7" x14ac:dyDescent="0.2">
      <c r="A187" s="11">
        <v>174</v>
      </c>
      <c r="B187" s="5" t="s">
        <v>1198</v>
      </c>
      <c r="C187" s="11" t="s">
        <v>1200</v>
      </c>
      <c r="D187" s="5" t="s">
        <v>1199</v>
      </c>
      <c r="E187" s="8">
        <v>879.2</v>
      </c>
      <c r="F187" s="5" t="s">
        <v>10</v>
      </c>
      <c r="G187" s="2" t="s">
        <v>23</v>
      </c>
    </row>
    <row r="188" spans="1:7" x14ac:dyDescent="0.2">
      <c r="A188" s="11">
        <v>175</v>
      </c>
      <c r="B188" s="5" t="s">
        <v>1201</v>
      </c>
      <c r="C188" s="12">
        <v>60566702025</v>
      </c>
      <c r="D188" s="5" t="s">
        <v>1202</v>
      </c>
      <c r="E188" s="8">
        <v>23.13</v>
      </c>
      <c r="F188" s="5" t="s">
        <v>10</v>
      </c>
      <c r="G188" s="2" t="s">
        <v>23</v>
      </c>
    </row>
    <row r="189" spans="1:7" x14ac:dyDescent="0.2">
      <c r="A189" s="11">
        <v>176</v>
      </c>
      <c r="B189" s="5" t="s">
        <v>451</v>
      </c>
      <c r="C189" s="11" t="s">
        <v>452</v>
      </c>
      <c r="D189" s="5" t="s">
        <v>453</v>
      </c>
      <c r="E189" s="8">
        <v>14758.24</v>
      </c>
      <c r="F189" s="5" t="s">
        <v>10</v>
      </c>
      <c r="G189" s="2" t="s">
        <v>23</v>
      </c>
    </row>
    <row r="190" spans="1:7" x14ac:dyDescent="0.2">
      <c r="A190" s="11">
        <v>177</v>
      </c>
      <c r="B190" s="5" t="s">
        <v>335</v>
      </c>
      <c r="C190" s="11">
        <v>33302328387</v>
      </c>
      <c r="D190" s="5" t="s">
        <v>336</v>
      </c>
      <c r="E190" s="8">
        <v>6945</v>
      </c>
      <c r="F190" s="5" t="s">
        <v>10</v>
      </c>
      <c r="G190" s="2" t="s">
        <v>260</v>
      </c>
    </row>
    <row r="191" spans="1:7" x14ac:dyDescent="0.2">
      <c r="A191" s="11">
        <v>178</v>
      </c>
      <c r="B191" s="5" t="s">
        <v>1203</v>
      </c>
      <c r="C191" s="11">
        <v>33548604975</v>
      </c>
      <c r="D191" s="5" t="s">
        <v>1204</v>
      </c>
      <c r="E191" s="8">
        <v>336</v>
      </c>
      <c r="F191" s="5" t="s">
        <v>10</v>
      </c>
      <c r="G191" s="2" t="s">
        <v>23</v>
      </c>
    </row>
    <row r="192" spans="1:7" x14ac:dyDescent="0.2">
      <c r="A192" s="11">
        <v>179</v>
      </c>
      <c r="B192" s="5" t="s">
        <v>259</v>
      </c>
      <c r="C192" s="11">
        <v>46289034988</v>
      </c>
      <c r="D192" s="5" t="s">
        <v>261</v>
      </c>
      <c r="E192" s="8">
        <v>167.25</v>
      </c>
      <c r="F192" s="5" t="s">
        <v>10</v>
      </c>
      <c r="G192" s="2" t="s">
        <v>260</v>
      </c>
    </row>
    <row r="193" spans="1:7" x14ac:dyDescent="0.2">
      <c r="A193" s="11">
        <v>180</v>
      </c>
      <c r="B193" s="5" t="s">
        <v>1205</v>
      </c>
      <c r="C193" s="11">
        <v>19761024128</v>
      </c>
      <c r="D193" s="5" t="s">
        <v>1206</v>
      </c>
      <c r="E193" s="8">
        <v>69.75</v>
      </c>
      <c r="F193" s="5" t="s">
        <v>10</v>
      </c>
      <c r="G193" s="2" t="s">
        <v>23</v>
      </c>
    </row>
    <row r="194" spans="1:7" x14ac:dyDescent="0.2">
      <c r="A194" s="11">
        <v>181</v>
      </c>
      <c r="B194" s="5" t="s">
        <v>1207</v>
      </c>
      <c r="C194" s="11" t="s">
        <v>1208</v>
      </c>
      <c r="D194" s="5" t="s">
        <v>1567</v>
      </c>
      <c r="E194" s="8">
        <v>239.8</v>
      </c>
      <c r="F194" s="5" t="s">
        <v>10</v>
      </c>
      <c r="G194" s="2" t="s">
        <v>23</v>
      </c>
    </row>
    <row r="195" spans="1:7" x14ac:dyDescent="0.2">
      <c r="A195" s="11">
        <v>182</v>
      </c>
      <c r="B195" s="5" t="s">
        <v>1209</v>
      </c>
      <c r="C195" s="12" t="s">
        <v>1211</v>
      </c>
      <c r="D195" s="5" t="s">
        <v>1210</v>
      </c>
      <c r="E195" s="8">
        <v>380</v>
      </c>
      <c r="F195" s="5" t="s">
        <v>10</v>
      </c>
      <c r="G195" s="2" t="s">
        <v>23</v>
      </c>
    </row>
    <row r="196" spans="1:7" x14ac:dyDescent="0.2">
      <c r="A196" s="11">
        <v>183</v>
      </c>
      <c r="B196" s="5" t="s">
        <v>380</v>
      </c>
      <c r="C196" s="11">
        <v>52641439848</v>
      </c>
      <c r="D196" s="5" t="s">
        <v>381</v>
      </c>
      <c r="E196" s="8">
        <v>420.79</v>
      </c>
      <c r="F196" s="5" t="s">
        <v>10</v>
      </c>
      <c r="G196" s="2" t="s">
        <v>23</v>
      </c>
    </row>
    <row r="197" spans="1:7" x14ac:dyDescent="0.2">
      <c r="A197" s="11">
        <v>184</v>
      </c>
      <c r="B197" s="5" t="s">
        <v>471</v>
      </c>
      <c r="C197" s="11">
        <v>54661026138</v>
      </c>
      <c r="D197" s="5" t="s">
        <v>472</v>
      </c>
      <c r="E197" s="8">
        <v>1505.98</v>
      </c>
      <c r="F197" s="5" t="s">
        <v>10</v>
      </c>
      <c r="G197" s="2" t="s">
        <v>23</v>
      </c>
    </row>
    <row r="198" spans="1:7" x14ac:dyDescent="0.2">
      <c r="A198" s="11">
        <v>185</v>
      </c>
      <c r="B198" s="5" t="s">
        <v>1212</v>
      </c>
      <c r="C198" s="11">
        <v>85183380335</v>
      </c>
      <c r="D198" s="5" t="s">
        <v>1213</v>
      </c>
      <c r="E198" s="8">
        <v>255.19</v>
      </c>
      <c r="F198" s="5" t="s">
        <v>10</v>
      </c>
      <c r="G198" s="2" t="s">
        <v>23</v>
      </c>
    </row>
    <row r="199" spans="1:7" x14ac:dyDescent="0.2">
      <c r="A199" s="11">
        <v>186</v>
      </c>
      <c r="B199" s="5" t="s">
        <v>1214</v>
      </c>
      <c r="C199" s="12">
        <v>48062605125</v>
      </c>
      <c r="D199" s="5" t="s">
        <v>1215</v>
      </c>
      <c r="E199" s="8">
        <v>26.5</v>
      </c>
      <c r="F199" s="5" t="s">
        <v>10</v>
      </c>
      <c r="G199" s="2" t="s">
        <v>23</v>
      </c>
    </row>
    <row r="200" spans="1:7" x14ac:dyDescent="0.2">
      <c r="A200" s="11">
        <v>187</v>
      </c>
      <c r="B200" s="5" t="s">
        <v>1216</v>
      </c>
      <c r="C200" s="12" t="s">
        <v>1217</v>
      </c>
      <c r="D200" s="5" t="s">
        <v>1218</v>
      </c>
      <c r="E200" s="8">
        <v>812.5</v>
      </c>
      <c r="F200" s="5" t="s">
        <v>10</v>
      </c>
      <c r="G200" s="2" t="s">
        <v>147</v>
      </c>
    </row>
    <row r="201" spans="1:7" x14ac:dyDescent="0.2">
      <c r="A201" s="11">
        <v>188</v>
      </c>
      <c r="B201" s="5" t="s">
        <v>187</v>
      </c>
      <c r="C201" s="11">
        <v>22694857747</v>
      </c>
      <c r="D201" s="5" t="s">
        <v>239</v>
      </c>
      <c r="E201" s="8">
        <v>268.14999999999998</v>
      </c>
      <c r="F201" s="5" t="s">
        <v>10</v>
      </c>
      <c r="G201" s="2" t="s">
        <v>188</v>
      </c>
    </row>
    <row r="202" spans="1:7" x14ac:dyDescent="0.2">
      <c r="A202" s="11">
        <v>189</v>
      </c>
      <c r="B202" s="5" t="s">
        <v>1221</v>
      </c>
      <c r="C202" s="12" t="s">
        <v>1223</v>
      </c>
      <c r="D202" s="5" t="s">
        <v>1222</v>
      </c>
      <c r="E202" s="8">
        <v>16.690000000000001</v>
      </c>
      <c r="F202" s="5" t="s">
        <v>10</v>
      </c>
      <c r="G202" s="2" t="s">
        <v>23</v>
      </c>
    </row>
    <row r="203" spans="1:7" x14ac:dyDescent="0.2">
      <c r="A203" s="11">
        <v>190</v>
      </c>
      <c r="B203" s="5" t="s">
        <v>1219</v>
      </c>
      <c r="C203" s="11">
        <v>62738155272</v>
      </c>
      <c r="D203" s="5" t="s">
        <v>1220</v>
      </c>
      <c r="E203" s="8">
        <v>66.88</v>
      </c>
      <c r="F203" s="5" t="s">
        <v>10</v>
      </c>
      <c r="G203" s="2" t="s">
        <v>23</v>
      </c>
    </row>
    <row r="204" spans="1:7" ht="12.75" thickBot="1" x14ac:dyDescent="0.25">
      <c r="A204" s="11">
        <v>191</v>
      </c>
      <c r="B204" s="19" t="s">
        <v>494</v>
      </c>
      <c r="C204" s="36">
        <v>54482179263</v>
      </c>
      <c r="D204" s="19" t="s">
        <v>495</v>
      </c>
      <c r="E204" s="15">
        <v>68.45</v>
      </c>
      <c r="F204" s="19" t="s">
        <v>10</v>
      </c>
      <c r="G204" s="28" t="s">
        <v>23</v>
      </c>
    </row>
    <row r="205" spans="1:7" x14ac:dyDescent="0.2">
      <c r="A205" s="84">
        <v>192</v>
      </c>
      <c r="B205" s="82" t="s">
        <v>499</v>
      </c>
      <c r="C205" s="84">
        <v>50467974870</v>
      </c>
      <c r="D205" s="82" t="s">
        <v>500</v>
      </c>
      <c r="E205" s="16">
        <v>383.29</v>
      </c>
      <c r="F205" s="30" t="s">
        <v>10</v>
      </c>
      <c r="G205" s="31" t="s">
        <v>23</v>
      </c>
    </row>
    <row r="206" spans="1:7" ht="12.75" thickBot="1" x14ac:dyDescent="0.25">
      <c r="A206" s="85"/>
      <c r="B206" s="83"/>
      <c r="C206" s="85"/>
      <c r="D206" s="83"/>
      <c r="E206" s="18">
        <v>980</v>
      </c>
      <c r="F206" s="35" t="s">
        <v>10</v>
      </c>
      <c r="G206" s="32" t="s">
        <v>130</v>
      </c>
    </row>
    <row r="207" spans="1:7" x14ac:dyDescent="0.2">
      <c r="A207" s="37">
        <v>193</v>
      </c>
      <c r="B207" s="33" t="s">
        <v>501</v>
      </c>
      <c r="C207" s="37">
        <v>79506290597</v>
      </c>
      <c r="D207" s="33" t="s">
        <v>503</v>
      </c>
      <c r="E207" s="17">
        <v>80.14</v>
      </c>
      <c r="F207" s="33" t="s">
        <v>10</v>
      </c>
      <c r="G207" s="34" t="s">
        <v>502</v>
      </c>
    </row>
    <row r="208" spans="1:7" x14ac:dyDescent="0.2">
      <c r="A208" s="11">
        <v>194</v>
      </c>
      <c r="B208" s="5" t="s">
        <v>461</v>
      </c>
      <c r="C208" s="11">
        <v>83157399243</v>
      </c>
      <c r="D208" s="5" t="s">
        <v>462</v>
      </c>
      <c r="E208" s="8">
        <v>2227.5</v>
      </c>
      <c r="F208" s="5" t="s">
        <v>10</v>
      </c>
      <c r="G208" s="2" t="s">
        <v>23</v>
      </c>
    </row>
    <row r="209" spans="1:7" x14ac:dyDescent="0.2">
      <c r="A209" s="11">
        <v>195</v>
      </c>
      <c r="B209" s="5" t="s">
        <v>507</v>
      </c>
      <c r="C209" s="11">
        <v>94505281348</v>
      </c>
      <c r="D209" s="5" t="s">
        <v>509</v>
      </c>
      <c r="E209" s="8">
        <v>157.5</v>
      </c>
      <c r="F209" s="5" t="s">
        <v>10</v>
      </c>
      <c r="G209" s="2" t="s">
        <v>287</v>
      </c>
    </row>
    <row r="210" spans="1:7" x14ac:dyDescent="0.2">
      <c r="A210" s="11">
        <v>196</v>
      </c>
      <c r="B210" s="5" t="s">
        <v>1133</v>
      </c>
      <c r="C210" s="11">
        <v>75531206229</v>
      </c>
      <c r="D210" s="5" t="s">
        <v>1073</v>
      </c>
      <c r="E210" s="8">
        <f>715+1110</f>
        <v>1825</v>
      </c>
      <c r="F210" s="5" t="s">
        <v>10</v>
      </c>
      <c r="G210" s="2" t="s">
        <v>23</v>
      </c>
    </row>
    <row r="211" spans="1:7" x14ac:dyDescent="0.2">
      <c r="A211" s="11">
        <v>197</v>
      </c>
      <c r="B211" s="5" t="s">
        <v>483</v>
      </c>
      <c r="C211" s="12" t="s">
        <v>485</v>
      </c>
      <c r="D211" s="5" t="s">
        <v>484</v>
      </c>
      <c r="E211" s="8">
        <v>2333.98</v>
      </c>
      <c r="F211" s="5" t="s">
        <v>10</v>
      </c>
      <c r="G211" s="2" t="s">
        <v>481</v>
      </c>
    </row>
    <row r="212" spans="1:7" x14ac:dyDescent="0.2">
      <c r="A212" s="11">
        <v>198</v>
      </c>
      <c r="B212" s="5" t="s">
        <v>557</v>
      </c>
      <c r="C212" s="11">
        <v>75725588375</v>
      </c>
      <c r="D212" s="5" t="s">
        <v>558</v>
      </c>
      <c r="E212" s="8">
        <v>1311.5</v>
      </c>
      <c r="F212" s="5" t="s">
        <v>10</v>
      </c>
      <c r="G212" s="2" t="s">
        <v>23</v>
      </c>
    </row>
    <row r="213" spans="1:7" x14ac:dyDescent="0.2">
      <c r="A213" s="11">
        <v>199</v>
      </c>
      <c r="B213" s="5" t="s">
        <v>555</v>
      </c>
      <c r="C213" s="11">
        <v>56733014701</v>
      </c>
      <c r="D213" s="5" t="s">
        <v>556</v>
      </c>
      <c r="E213" s="8">
        <v>2209</v>
      </c>
      <c r="F213" s="5" t="s">
        <v>10</v>
      </c>
      <c r="G213" s="2" t="s">
        <v>23</v>
      </c>
    </row>
    <row r="214" spans="1:7" x14ac:dyDescent="0.2">
      <c r="A214" s="11">
        <v>200</v>
      </c>
      <c r="B214" s="5" t="s">
        <v>571</v>
      </c>
      <c r="C214" s="11">
        <v>75202805533</v>
      </c>
      <c r="D214" s="5" t="s">
        <v>588</v>
      </c>
      <c r="E214" s="8">
        <v>1828.98</v>
      </c>
      <c r="F214" s="5" t="s">
        <v>10</v>
      </c>
      <c r="G214" s="2" t="s">
        <v>23</v>
      </c>
    </row>
    <row r="215" spans="1:7" x14ac:dyDescent="0.2">
      <c r="A215" s="11">
        <v>201</v>
      </c>
      <c r="B215" s="5" t="s">
        <v>593</v>
      </c>
      <c r="C215" s="11">
        <v>41261796409</v>
      </c>
      <c r="D215" s="5" t="s">
        <v>592</v>
      </c>
      <c r="E215" s="8">
        <v>1025</v>
      </c>
      <c r="F215" s="5" t="s">
        <v>10</v>
      </c>
      <c r="G215" s="2" t="s">
        <v>23</v>
      </c>
    </row>
    <row r="216" spans="1:7" x14ac:dyDescent="0.2">
      <c r="A216" s="11">
        <v>202</v>
      </c>
      <c r="B216" s="5" t="s">
        <v>531</v>
      </c>
      <c r="C216" s="11">
        <v>70273797250</v>
      </c>
      <c r="D216" s="5" t="s">
        <v>532</v>
      </c>
      <c r="E216" s="8">
        <v>49.8</v>
      </c>
      <c r="F216" s="5" t="s">
        <v>10</v>
      </c>
      <c r="G216" s="2" t="s">
        <v>481</v>
      </c>
    </row>
    <row r="217" spans="1:7" x14ac:dyDescent="0.2">
      <c r="A217" s="11">
        <v>203</v>
      </c>
      <c r="B217" s="5" t="s">
        <v>1099</v>
      </c>
      <c r="C217" s="11">
        <v>47266951158</v>
      </c>
      <c r="D217" s="5" t="s">
        <v>1100</v>
      </c>
      <c r="E217" s="8">
        <v>32.24</v>
      </c>
      <c r="F217" s="5" t="s">
        <v>10</v>
      </c>
      <c r="G217" s="2" t="s">
        <v>23</v>
      </c>
    </row>
    <row r="218" spans="1:7" x14ac:dyDescent="0.2">
      <c r="A218" s="11">
        <v>204</v>
      </c>
      <c r="B218" s="5" t="s">
        <v>1117</v>
      </c>
      <c r="C218" s="11">
        <v>64634216475</v>
      </c>
      <c r="D218" s="5" t="s">
        <v>1118</v>
      </c>
      <c r="E218" s="8">
        <v>279.57</v>
      </c>
      <c r="F218" s="5" t="s">
        <v>10</v>
      </c>
      <c r="G218" s="2" t="s">
        <v>23</v>
      </c>
    </row>
    <row r="219" spans="1:7" ht="5.25" customHeight="1" x14ac:dyDescent="0.2">
      <c r="A219" s="11"/>
      <c r="B219" s="5"/>
      <c r="C219" s="11"/>
      <c r="D219" s="5"/>
      <c r="E219" s="8"/>
      <c r="F219" s="5"/>
      <c r="G219" s="2"/>
    </row>
    <row r="221" spans="1:7" x14ac:dyDescent="0.2">
      <c r="D221" s="51" t="s">
        <v>1224</v>
      </c>
      <c r="E221" s="52">
        <f>SUM(E11:E219)</f>
        <v>1850530.6899999995</v>
      </c>
    </row>
  </sheetData>
  <sheetProtection algorithmName="SHA-512" hashValue="kbZy1kW0qygmgaekL2FR9gOl4dZ2rpwmT6h+/gkoVTndAYKOf7N/0F3AtESff0TMso/ts76MJCVN05vvxmVAZg==" saltValue="b+5kq2U7/bQ73OiTC2p9Hg==" spinCount="100000" sheet="1" objects="1" scenarios="1" selectLockedCells="1" autoFilter="0" selectUnlockedCells="1"/>
  <autoFilter ref="A10:G218" xr:uid="{1950F4FB-0261-43D0-828A-F0FFB9B4258F}"/>
  <mergeCells count="22">
    <mergeCell ref="A205:A206"/>
    <mergeCell ref="B205:B206"/>
    <mergeCell ref="C205:C206"/>
    <mergeCell ref="D205:D206"/>
    <mergeCell ref="A52:A53"/>
    <mergeCell ref="B52:B53"/>
    <mergeCell ref="C52:C53"/>
    <mergeCell ref="D52:D53"/>
    <mergeCell ref="F52:F53"/>
    <mergeCell ref="A36:A37"/>
    <mergeCell ref="B36:B37"/>
    <mergeCell ref="C36:C37"/>
    <mergeCell ref="D36:D37"/>
    <mergeCell ref="F36:F37"/>
    <mergeCell ref="A6:B6"/>
    <mergeCell ref="A7:B7"/>
    <mergeCell ref="C8:F8"/>
    <mergeCell ref="A34:A35"/>
    <mergeCell ref="B34:B35"/>
    <mergeCell ref="C34:C35"/>
    <mergeCell ref="D34:D35"/>
    <mergeCell ref="F34:F35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BA26A-D96B-46E5-8E31-ECE8F3438314}">
  <sheetPr codeName="List6"/>
  <dimension ref="A5:L260"/>
  <sheetViews>
    <sheetView workbookViewId="0">
      <selection activeCell="F260" sqref="F260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74" t="s">
        <v>7</v>
      </c>
      <c r="B6" s="74"/>
    </row>
    <row r="7" spans="1:7" x14ac:dyDescent="0.2">
      <c r="A7" s="74" t="s">
        <v>8</v>
      </c>
      <c r="B7" s="74"/>
    </row>
    <row r="8" spans="1:7" x14ac:dyDescent="0.2">
      <c r="A8" s="25"/>
      <c r="B8" s="6"/>
      <c r="C8" s="75" t="s">
        <v>1229</v>
      </c>
      <c r="D8" s="75"/>
      <c r="E8" s="75"/>
      <c r="F8" s="75"/>
    </row>
    <row r="10" spans="1:7" x14ac:dyDescent="0.2">
      <c r="A10" s="3" t="s">
        <v>1</v>
      </c>
      <c r="B10" s="4" t="s">
        <v>0</v>
      </c>
      <c r="C10" s="3" t="s">
        <v>42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11</v>
      </c>
      <c r="C11" s="11">
        <v>23780250353</v>
      </c>
      <c r="D11" s="5" t="s">
        <v>27</v>
      </c>
      <c r="E11" s="8">
        <v>2520.39</v>
      </c>
      <c r="F11" s="5" t="s">
        <v>10</v>
      </c>
      <c r="G11" s="2" t="s">
        <v>12</v>
      </c>
    </row>
    <row r="12" spans="1:7" x14ac:dyDescent="0.2">
      <c r="A12" s="11">
        <v>2</v>
      </c>
      <c r="B12" s="5" t="s">
        <v>13</v>
      </c>
      <c r="C12" s="11">
        <v>90275854576</v>
      </c>
      <c r="D12" s="5" t="s">
        <v>28</v>
      </c>
      <c r="E12" s="8">
        <v>329.52</v>
      </c>
      <c r="F12" s="5" t="s">
        <v>10</v>
      </c>
      <c r="G12" s="2" t="s">
        <v>12</v>
      </c>
    </row>
    <row r="13" spans="1:7" x14ac:dyDescent="0.2">
      <c r="A13" s="11">
        <v>3</v>
      </c>
      <c r="B13" s="5" t="s">
        <v>14</v>
      </c>
      <c r="C13" s="11">
        <v>87939104217</v>
      </c>
      <c r="D13" s="5" t="s">
        <v>15</v>
      </c>
      <c r="E13" s="8">
        <v>63.75</v>
      </c>
      <c r="F13" s="5" t="s">
        <v>10</v>
      </c>
      <c r="G13" s="2" t="s">
        <v>16</v>
      </c>
    </row>
    <row r="14" spans="1:7" x14ac:dyDescent="0.2">
      <c r="A14" s="11">
        <v>4</v>
      </c>
      <c r="B14" s="5" t="s">
        <v>17</v>
      </c>
      <c r="C14" s="11" t="s">
        <v>17</v>
      </c>
      <c r="D14" s="5" t="s">
        <v>17</v>
      </c>
      <c r="E14" s="8">
        <f>560+560+560+560+560+560+560+560+560+560+560+560</f>
        <v>6720</v>
      </c>
      <c r="F14" s="5" t="s">
        <v>10</v>
      </c>
      <c r="G14" s="2" t="s">
        <v>18</v>
      </c>
    </row>
    <row r="15" spans="1:7" ht="14.25" customHeight="1" x14ac:dyDescent="0.2">
      <c r="A15" s="11">
        <v>5</v>
      </c>
      <c r="B15" s="5" t="s">
        <v>19</v>
      </c>
      <c r="C15" s="12" t="s">
        <v>30</v>
      </c>
      <c r="D15" s="9" t="s">
        <v>31</v>
      </c>
      <c r="E15" s="8">
        <f>5332.85+27.9</f>
        <v>5360.75</v>
      </c>
      <c r="F15" s="5" t="s">
        <v>10</v>
      </c>
      <c r="G15" s="2" t="s">
        <v>20</v>
      </c>
    </row>
    <row r="16" spans="1:7" x14ac:dyDescent="0.2">
      <c r="A16" s="11">
        <v>6</v>
      </c>
      <c r="B16" s="5" t="s">
        <v>22</v>
      </c>
      <c r="C16" s="11">
        <v>85167032587</v>
      </c>
      <c r="D16" s="5" t="s">
        <v>29</v>
      </c>
      <c r="E16" s="8">
        <v>527.30999999999995</v>
      </c>
      <c r="F16" s="5" t="s">
        <v>10</v>
      </c>
      <c r="G16" s="2" t="s">
        <v>21</v>
      </c>
    </row>
    <row r="17" spans="1:8" x14ac:dyDescent="0.2">
      <c r="A17" s="11">
        <v>7</v>
      </c>
      <c r="B17" s="5" t="s">
        <v>180</v>
      </c>
      <c r="C17" s="11">
        <v>87311810356</v>
      </c>
      <c r="D17" s="5" t="s">
        <v>229</v>
      </c>
      <c r="E17" s="8">
        <v>2.46</v>
      </c>
      <c r="F17" s="5" t="s">
        <v>10</v>
      </c>
      <c r="G17" s="2" t="s">
        <v>179</v>
      </c>
    </row>
    <row r="18" spans="1:8" x14ac:dyDescent="0.2">
      <c r="A18" s="11">
        <v>8</v>
      </c>
      <c r="B18" s="5" t="s">
        <v>688</v>
      </c>
      <c r="C18" s="11">
        <v>44040649076</v>
      </c>
      <c r="D18" s="5" t="s">
        <v>689</v>
      </c>
      <c r="E18" s="8">
        <v>45000</v>
      </c>
      <c r="F18" s="5" t="s">
        <v>10</v>
      </c>
      <c r="G18" s="2" t="s">
        <v>23</v>
      </c>
    </row>
    <row r="19" spans="1:8" x14ac:dyDescent="0.2">
      <c r="A19" s="11">
        <v>9</v>
      </c>
      <c r="B19" s="5" t="s">
        <v>682</v>
      </c>
      <c r="C19" s="11" t="s">
        <v>683</v>
      </c>
      <c r="D19" s="5" t="s">
        <v>684</v>
      </c>
      <c r="E19" s="8">
        <v>9966</v>
      </c>
      <c r="F19" s="5" t="s">
        <v>10</v>
      </c>
      <c r="G19" s="2" t="s">
        <v>23</v>
      </c>
    </row>
    <row r="20" spans="1:8" x14ac:dyDescent="0.2">
      <c r="A20" s="11">
        <v>10</v>
      </c>
      <c r="B20" s="5" t="s">
        <v>17</v>
      </c>
      <c r="C20" s="11" t="s">
        <v>17</v>
      </c>
      <c r="D20" s="5" t="s">
        <v>17</v>
      </c>
      <c r="E20" s="8">
        <v>1152934.6399999999</v>
      </c>
      <c r="F20" s="5" t="s">
        <v>10</v>
      </c>
      <c r="G20" s="2" t="s">
        <v>34</v>
      </c>
    </row>
    <row r="21" spans="1:8" ht="15" customHeight="1" x14ac:dyDescent="0.2">
      <c r="A21" s="11">
        <v>11</v>
      </c>
      <c r="B21" s="5" t="s">
        <v>349</v>
      </c>
      <c r="C21" s="11">
        <v>31022857153</v>
      </c>
      <c r="D21" s="5" t="s">
        <v>351</v>
      </c>
      <c r="E21" s="8">
        <v>4253.05</v>
      </c>
      <c r="F21" s="5" t="s">
        <v>10</v>
      </c>
      <c r="G21" s="2" t="s">
        <v>350</v>
      </c>
    </row>
    <row r="22" spans="1:8" x14ac:dyDescent="0.2">
      <c r="A22" s="11">
        <v>12</v>
      </c>
      <c r="B22" s="5" t="s">
        <v>579</v>
      </c>
      <c r="C22" s="11">
        <v>54527841697</v>
      </c>
      <c r="D22" s="5" t="s">
        <v>602</v>
      </c>
      <c r="E22" s="8">
        <v>3123.85</v>
      </c>
      <c r="F22" s="5" t="s">
        <v>10</v>
      </c>
      <c r="G22" s="2" t="s">
        <v>23</v>
      </c>
    </row>
    <row r="23" spans="1:8" x14ac:dyDescent="0.2">
      <c r="A23" s="11">
        <v>13</v>
      </c>
      <c r="B23" s="5" t="s">
        <v>39</v>
      </c>
      <c r="C23" s="12" t="s">
        <v>44</v>
      </c>
      <c r="D23" s="5" t="s">
        <v>43</v>
      </c>
      <c r="E23" s="8">
        <v>1029.94</v>
      </c>
      <c r="F23" s="5" t="s">
        <v>10</v>
      </c>
      <c r="G23" s="2" t="s">
        <v>16</v>
      </c>
    </row>
    <row r="24" spans="1:8" x14ac:dyDescent="0.2">
      <c r="A24" s="11">
        <v>14</v>
      </c>
      <c r="B24" s="5" t="s">
        <v>45</v>
      </c>
      <c r="C24" s="11">
        <v>57500462912</v>
      </c>
      <c r="D24" s="5" t="s">
        <v>47</v>
      </c>
      <c r="E24" s="8">
        <v>802.5</v>
      </c>
      <c r="F24" s="5" t="s">
        <v>10</v>
      </c>
      <c r="G24" s="2" t="s">
        <v>46</v>
      </c>
    </row>
    <row r="25" spans="1:8" x14ac:dyDescent="0.2">
      <c r="A25" s="11">
        <v>15</v>
      </c>
      <c r="B25" s="5" t="s">
        <v>154</v>
      </c>
      <c r="C25" s="11">
        <v>33001753417</v>
      </c>
      <c r="D25" s="5" t="s">
        <v>213</v>
      </c>
      <c r="E25" s="8">
        <v>8290</v>
      </c>
      <c r="F25" s="5" t="s">
        <v>10</v>
      </c>
      <c r="G25" s="2" t="s">
        <v>23</v>
      </c>
    </row>
    <row r="26" spans="1:8" x14ac:dyDescent="0.2">
      <c r="A26" s="11">
        <v>16</v>
      </c>
      <c r="B26" s="19" t="s">
        <v>297</v>
      </c>
      <c r="C26" s="36">
        <v>72836081238</v>
      </c>
      <c r="D26" s="19" t="s">
        <v>298</v>
      </c>
      <c r="E26" s="15">
        <v>23850</v>
      </c>
      <c r="F26" s="19" t="s">
        <v>10</v>
      </c>
      <c r="G26" s="28" t="s">
        <v>23</v>
      </c>
    </row>
    <row r="27" spans="1:8" x14ac:dyDescent="0.2">
      <c r="A27" s="11">
        <v>17</v>
      </c>
      <c r="B27" s="5" t="s">
        <v>388</v>
      </c>
      <c r="C27" s="11" t="s">
        <v>390</v>
      </c>
      <c r="D27" s="5" t="s">
        <v>389</v>
      </c>
      <c r="E27" s="8">
        <v>30889</v>
      </c>
      <c r="F27" s="44" t="s">
        <v>10</v>
      </c>
      <c r="G27" s="2" t="s">
        <v>23</v>
      </c>
    </row>
    <row r="28" spans="1:8" x14ac:dyDescent="0.2">
      <c r="A28" s="11">
        <v>18</v>
      </c>
      <c r="B28" s="5" t="s">
        <v>290</v>
      </c>
      <c r="C28" s="11">
        <v>40779258479</v>
      </c>
      <c r="D28" s="5" t="s">
        <v>291</v>
      </c>
      <c r="E28" s="8">
        <v>45000</v>
      </c>
      <c r="F28" s="5" t="s">
        <v>10</v>
      </c>
      <c r="G28" s="2" t="s">
        <v>23</v>
      </c>
      <c r="H28" s="13"/>
    </row>
    <row r="29" spans="1:8" x14ac:dyDescent="0.2">
      <c r="A29" s="11">
        <v>19</v>
      </c>
      <c r="B29" s="23" t="s">
        <v>613</v>
      </c>
      <c r="C29" s="24">
        <v>66253945791</v>
      </c>
      <c r="D29" s="38" t="s">
        <v>67</v>
      </c>
      <c r="E29" s="8">
        <v>33276.11</v>
      </c>
      <c r="F29" s="23" t="s">
        <v>10</v>
      </c>
      <c r="G29" s="2" t="s">
        <v>58</v>
      </c>
    </row>
    <row r="30" spans="1:8" x14ac:dyDescent="0.2">
      <c r="A30" s="11">
        <v>20</v>
      </c>
      <c r="B30" s="5" t="s">
        <v>65</v>
      </c>
      <c r="C30" s="11">
        <v>93039509752</v>
      </c>
      <c r="D30" s="5" t="s">
        <v>75</v>
      </c>
      <c r="E30" s="17">
        <v>1546.23</v>
      </c>
      <c r="F30" s="5" t="s">
        <v>10</v>
      </c>
      <c r="G30" s="2" t="s">
        <v>55</v>
      </c>
    </row>
    <row r="31" spans="1:8" x14ac:dyDescent="0.2">
      <c r="A31" s="11">
        <v>21</v>
      </c>
      <c r="B31" s="19" t="s">
        <v>59</v>
      </c>
      <c r="C31" s="36">
        <v>63073332379</v>
      </c>
      <c r="D31" s="19" t="s">
        <v>73</v>
      </c>
      <c r="E31" s="15">
        <v>2876.96</v>
      </c>
      <c r="F31" s="19" t="s">
        <v>10</v>
      </c>
      <c r="G31" s="28" t="s">
        <v>61</v>
      </c>
    </row>
    <row r="32" spans="1:8" x14ac:dyDescent="0.2">
      <c r="A32" s="11">
        <v>22</v>
      </c>
      <c r="B32" s="5" t="s">
        <v>480</v>
      </c>
      <c r="C32" s="11">
        <v>69857578031</v>
      </c>
      <c r="D32" s="5" t="s">
        <v>482</v>
      </c>
      <c r="E32" s="8">
        <v>894</v>
      </c>
      <c r="F32" s="44" t="s">
        <v>10</v>
      </c>
      <c r="G32" s="2" t="s">
        <v>481</v>
      </c>
    </row>
    <row r="33" spans="1:7" ht="12.75" thickBot="1" x14ac:dyDescent="0.25">
      <c r="A33" s="11">
        <v>23</v>
      </c>
      <c r="B33" s="5" t="s">
        <v>755</v>
      </c>
      <c r="C33" s="11">
        <v>44270699963</v>
      </c>
      <c r="D33" s="5" t="s">
        <v>756</v>
      </c>
      <c r="E33" s="18">
        <v>29.7</v>
      </c>
      <c r="F33" s="35" t="s">
        <v>10</v>
      </c>
      <c r="G33" s="32" t="s">
        <v>112</v>
      </c>
    </row>
    <row r="34" spans="1:7" ht="15" customHeight="1" x14ac:dyDescent="0.2">
      <c r="A34" s="84">
        <v>24</v>
      </c>
      <c r="B34" s="82" t="s">
        <v>76</v>
      </c>
      <c r="C34" s="84">
        <v>11471889269</v>
      </c>
      <c r="D34" s="82" t="s">
        <v>77</v>
      </c>
      <c r="E34" s="16">
        <v>15397.84</v>
      </c>
      <c r="F34" s="82" t="s">
        <v>10</v>
      </c>
      <c r="G34" s="31" t="s">
        <v>58</v>
      </c>
    </row>
    <row r="35" spans="1:7" ht="12.75" thickBot="1" x14ac:dyDescent="0.25">
      <c r="A35" s="85"/>
      <c r="B35" s="83"/>
      <c r="C35" s="85"/>
      <c r="D35" s="83"/>
      <c r="E35" s="18">
        <v>1205.21</v>
      </c>
      <c r="F35" s="83"/>
      <c r="G35" s="32" t="s">
        <v>23</v>
      </c>
    </row>
    <row r="36" spans="1:7" x14ac:dyDescent="0.2">
      <c r="A36" s="84">
        <v>25</v>
      </c>
      <c r="B36" s="82" t="s">
        <v>78</v>
      </c>
      <c r="C36" s="84">
        <v>27759560625</v>
      </c>
      <c r="D36" s="82" t="s">
        <v>80</v>
      </c>
      <c r="E36" s="16">
        <v>6765.81</v>
      </c>
      <c r="F36" s="82" t="s">
        <v>10</v>
      </c>
      <c r="G36" s="31" t="s">
        <v>79</v>
      </c>
    </row>
    <row r="37" spans="1:7" ht="12.75" thickBot="1" x14ac:dyDescent="0.25">
      <c r="A37" s="70"/>
      <c r="B37" s="69"/>
      <c r="C37" s="70"/>
      <c r="D37" s="69"/>
      <c r="E37" s="15">
        <v>214.02</v>
      </c>
      <c r="F37" s="69"/>
      <c r="G37" s="28" t="s">
        <v>1230</v>
      </c>
    </row>
    <row r="38" spans="1:7" x14ac:dyDescent="0.2">
      <c r="A38" s="49">
        <v>26</v>
      </c>
      <c r="B38" s="30" t="s">
        <v>655</v>
      </c>
      <c r="C38" s="49" t="s">
        <v>657</v>
      </c>
      <c r="D38" s="30" t="s">
        <v>656</v>
      </c>
      <c r="E38" s="16">
        <v>598.95000000000005</v>
      </c>
      <c r="F38" s="30" t="s">
        <v>10</v>
      </c>
      <c r="G38" s="31" t="s">
        <v>23</v>
      </c>
    </row>
    <row r="39" spans="1:7" x14ac:dyDescent="0.2">
      <c r="A39" s="11">
        <v>27</v>
      </c>
      <c r="B39" s="5" t="s">
        <v>550</v>
      </c>
      <c r="C39" s="11">
        <v>22911773746</v>
      </c>
      <c r="D39" s="5" t="s">
        <v>551</v>
      </c>
      <c r="E39" s="8">
        <v>1045</v>
      </c>
      <c r="F39" s="5" t="s">
        <v>10</v>
      </c>
      <c r="G39" s="2" t="s">
        <v>23</v>
      </c>
    </row>
    <row r="40" spans="1:7" x14ac:dyDescent="0.2">
      <c r="A40" s="11">
        <v>28</v>
      </c>
      <c r="B40" s="5" t="s">
        <v>533</v>
      </c>
      <c r="C40" s="11">
        <v>7882320813</v>
      </c>
      <c r="D40" s="5" t="s">
        <v>1141</v>
      </c>
      <c r="E40" s="8">
        <v>1213.8599999999999</v>
      </c>
      <c r="F40" s="5" t="s">
        <v>10</v>
      </c>
      <c r="G40" s="2" t="s">
        <v>367</v>
      </c>
    </row>
    <row r="41" spans="1:7" x14ac:dyDescent="0.2">
      <c r="A41" s="11">
        <v>29</v>
      </c>
      <c r="B41" s="5" t="s">
        <v>87</v>
      </c>
      <c r="C41" s="12" t="s">
        <v>92</v>
      </c>
      <c r="D41" s="5" t="s">
        <v>91</v>
      </c>
      <c r="E41" s="8">
        <v>647.08000000000004</v>
      </c>
      <c r="F41" s="5" t="s">
        <v>10</v>
      </c>
      <c r="G41" s="2" t="s">
        <v>86</v>
      </c>
    </row>
    <row r="42" spans="1:7" x14ac:dyDescent="0.2">
      <c r="A42" s="11">
        <v>30</v>
      </c>
      <c r="B42" s="5" t="s">
        <v>1139</v>
      </c>
      <c r="C42" s="11">
        <v>66402309304</v>
      </c>
      <c r="D42" s="5" t="s">
        <v>1140</v>
      </c>
      <c r="E42" s="8">
        <v>418.25</v>
      </c>
      <c r="F42" s="5" t="s">
        <v>10</v>
      </c>
      <c r="G42" s="2" t="s">
        <v>287</v>
      </c>
    </row>
    <row r="43" spans="1:7" x14ac:dyDescent="0.2">
      <c r="A43" s="11">
        <v>31</v>
      </c>
      <c r="B43" s="5" t="s">
        <v>1231</v>
      </c>
      <c r="C43" s="11">
        <v>910688261</v>
      </c>
      <c r="D43" s="5" t="s">
        <v>1232</v>
      </c>
      <c r="E43" s="8">
        <v>49698.3</v>
      </c>
      <c r="F43" s="5" t="s">
        <v>10</v>
      </c>
      <c r="G43" s="2" t="s">
        <v>23</v>
      </c>
    </row>
    <row r="44" spans="1:7" x14ac:dyDescent="0.2">
      <c r="A44" s="11">
        <v>32</v>
      </c>
      <c r="B44" s="5" t="s">
        <v>100</v>
      </c>
      <c r="C44" s="11" t="s">
        <v>17</v>
      </c>
      <c r="D44" s="5" t="s">
        <v>17</v>
      </c>
      <c r="E44" s="8">
        <v>218.88</v>
      </c>
      <c r="F44" s="5" t="s">
        <v>10</v>
      </c>
      <c r="G44" s="2" t="s">
        <v>99</v>
      </c>
    </row>
    <row r="45" spans="1:7" x14ac:dyDescent="0.2">
      <c r="A45" s="11">
        <v>33</v>
      </c>
      <c r="B45" s="5" t="s">
        <v>17</v>
      </c>
      <c r="C45" s="11" t="s">
        <v>17</v>
      </c>
      <c r="D45" s="5" t="s">
        <v>17</v>
      </c>
      <c r="E45" s="8">
        <v>1680</v>
      </c>
      <c r="F45" s="5" t="s">
        <v>10</v>
      </c>
      <c r="G45" s="2" t="s">
        <v>101</v>
      </c>
    </row>
    <row r="46" spans="1:7" x14ac:dyDescent="0.2">
      <c r="A46" s="11">
        <v>34</v>
      </c>
      <c r="B46" s="5" t="s">
        <v>711</v>
      </c>
      <c r="C46" s="11">
        <v>33813961569</v>
      </c>
      <c r="D46" s="5" t="s">
        <v>712</v>
      </c>
      <c r="E46" s="8">
        <v>526.79</v>
      </c>
      <c r="F46" s="5" t="s">
        <v>10</v>
      </c>
      <c r="G46" s="2" t="s">
        <v>112</v>
      </c>
    </row>
    <row r="47" spans="1:7" x14ac:dyDescent="0.2">
      <c r="A47" s="11">
        <v>35</v>
      </c>
      <c r="B47" s="5" t="s">
        <v>1233</v>
      </c>
      <c r="C47" s="12">
        <v>88137585457</v>
      </c>
      <c r="D47" s="5" t="s">
        <v>1234</v>
      </c>
      <c r="E47" s="8">
        <v>1557.5</v>
      </c>
      <c r="F47" s="5" t="s">
        <v>10</v>
      </c>
      <c r="G47" s="2" t="s">
        <v>23</v>
      </c>
    </row>
    <row r="48" spans="1:7" x14ac:dyDescent="0.2">
      <c r="A48" s="11">
        <v>36</v>
      </c>
      <c r="B48" s="5" t="s">
        <v>17</v>
      </c>
      <c r="C48" s="11" t="s">
        <v>17</v>
      </c>
      <c r="D48" s="5" t="s">
        <v>17</v>
      </c>
      <c r="E48" s="8">
        <f>3645.42</f>
        <v>3645.42</v>
      </c>
      <c r="F48" s="5" t="s">
        <v>10</v>
      </c>
      <c r="G48" s="2" t="s">
        <v>107</v>
      </c>
    </row>
    <row r="49" spans="1:9" x14ac:dyDescent="0.2">
      <c r="A49" s="11">
        <v>37</v>
      </c>
      <c r="B49" s="5" t="s">
        <v>109</v>
      </c>
      <c r="C49" s="11">
        <v>32179081874</v>
      </c>
      <c r="D49" s="5" t="s">
        <v>110</v>
      </c>
      <c r="E49" s="15">
        <v>1605.66</v>
      </c>
      <c r="F49" s="19" t="s">
        <v>10</v>
      </c>
      <c r="G49" s="28" t="s">
        <v>108</v>
      </c>
    </row>
    <row r="50" spans="1:9" x14ac:dyDescent="0.2">
      <c r="A50" s="11">
        <v>38</v>
      </c>
      <c r="B50" s="23" t="s">
        <v>113</v>
      </c>
      <c r="C50" s="24">
        <v>76173743169</v>
      </c>
      <c r="D50" s="23" t="s">
        <v>111</v>
      </c>
      <c r="E50" s="8">
        <v>685.65</v>
      </c>
      <c r="F50" s="23" t="s">
        <v>10</v>
      </c>
      <c r="G50" s="2" t="s">
        <v>108</v>
      </c>
    </row>
    <row r="51" spans="1:9" ht="12.75" thickBot="1" x14ac:dyDescent="0.25">
      <c r="A51" s="11">
        <v>39</v>
      </c>
      <c r="B51" s="19" t="s">
        <v>114</v>
      </c>
      <c r="C51" s="43" t="s">
        <v>116</v>
      </c>
      <c r="D51" s="19" t="s">
        <v>117</v>
      </c>
      <c r="E51" s="15">
        <v>957.01</v>
      </c>
      <c r="F51" s="19" t="s">
        <v>10</v>
      </c>
      <c r="G51" s="28" t="s">
        <v>115</v>
      </c>
    </row>
    <row r="52" spans="1:9" x14ac:dyDescent="0.2">
      <c r="A52" s="84">
        <v>40</v>
      </c>
      <c r="B52" s="82" t="s">
        <v>119</v>
      </c>
      <c r="C52" s="84">
        <v>34976993601</v>
      </c>
      <c r="D52" s="82" t="s">
        <v>120</v>
      </c>
      <c r="E52" s="16">
        <v>439.6</v>
      </c>
      <c r="F52" s="82" t="s">
        <v>10</v>
      </c>
      <c r="G52" s="31" t="s">
        <v>118</v>
      </c>
    </row>
    <row r="53" spans="1:9" ht="12.75" thickBot="1" x14ac:dyDescent="0.25">
      <c r="A53" s="85"/>
      <c r="B53" s="83"/>
      <c r="C53" s="85"/>
      <c r="D53" s="83"/>
      <c r="E53" s="18">
        <v>933.78</v>
      </c>
      <c r="F53" s="83"/>
      <c r="G53" s="32" t="s">
        <v>287</v>
      </c>
    </row>
    <row r="54" spans="1:9" x14ac:dyDescent="0.2">
      <c r="A54" s="37">
        <v>41</v>
      </c>
      <c r="B54" s="33" t="s">
        <v>17</v>
      </c>
      <c r="C54" s="37" t="s">
        <v>17</v>
      </c>
      <c r="D54" s="33" t="s">
        <v>17</v>
      </c>
      <c r="E54" s="17">
        <v>1753.1</v>
      </c>
      <c r="F54" s="33" t="s">
        <v>10</v>
      </c>
      <c r="G54" s="34" t="s">
        <v>121</v>
      </c>
    </row>
    <row r="55" spans="1:9" x14ac:dyDescent="0.2">
      <c r="A55" s="11">
        <v>42</v>
      </c>
      <c r="B55" s="5" t="s">
        <v>17</v>
      </c>
      <c r="C55" s="11" t="s">
        <v>17</v>
      </c>
      <c r="D55" s="5" t="s">
        <v>17</v>
      </c>
      <c r="E55" s="8">
        <f>21301.26+781.48</f>
        <v>22082.739999999998</v>
      </c>
      <c r="F55" s="5" t="s">
        <v>10</v>
      </c>
      <c r="G55" s="2" t="s">
        <v>122</v>
      </c>
    </row>
    <row r="56" spans="1:9" x14ac:dyDescent="0.2">
      <c r="A56" s="11">
        <v>43</v>
      </c>
      <c r="B56" s="5" t="s">
        <v>17</v>
      </c>
      <c r="C56" s="11" t="s">
        <v>17</v>
      </c>
      <c r="D56" s="5" t="s">
        <v>17</v>
      </c>
      <c r="E56" s="8">
        <v>560</v>
      </c>
      <c r="F56" s="5" t="s">
        <v>10</v>
      </c>
      <c r="G56" s="2" t="s">
        <v>123</v>
      </c>
    </row>
    <row r="57" spans="1:9" x14ac:dyDescent="0.2">
      <c r="A57" s="11">
        <v>44</v>
      </c>
      <c r="B57" s="5" t="s">
        <v>1137</v>
      </c>
      <c r="C57" s="11">
        <v>52639870872</v>
      </c>
      <c r="D57" s="5" t="s">
        <v>1138</v>
      </c>
      <c r="E57" s="8">
        <v>1077.6500000000001</v>
      </c>
      <c r="F57" s="5" t="s">
        <v>10</v>
      </c>
      <c r="G57" s="2" t="s">
        <v>23</v>
      </c>
    </row>
    <row r="58" spans="1:9" x14ac:dyDescent="0.2">
      <c r="A58" s="11">
        <v>45</v>
      </c>
      <c r="B58" s="5" t="s">
        <v>732</v>
      </c>
      <c r="C58" s="11">
        <v>80972836106</v>
      </c>
      <c r="D58" s="5" t="s">
        <v>733</v>
      </c>
      <c r="E58" s="8">
        <f>225.5+151.1</f>
        <v>376.6</v>
      </c>
      <c r="F58" s="5" t="s">
        <v>10</v>
      </c>
      <c r="G58" s="2" t="s">
        <v>173</v>
      </c>
    </row>
    <row r="59" spans="1:9" x14ac:dyDescent="0.2">
      <c r="A59" s="11">
        <v>46</v>
      </c>
      <c r="B59" s="5" t="s">
        <v>578</v>
      </c>
      <c r="C59" s="11">
        <v>64691033428</v>
      </c>
      <c r="D59" s="5" t="s">
        <v>601</v>
      </c>
      <c r="E59" s="8">
        <f>1538.04</f>
        <v>1538.04</v>
      </c>
      <c r="F59" s="23" t="s">
        <v>10</v>
      </c>
      <c r="G59" s="2" t="s">
        <v>23</v>
      </c>
    </row>
    <row r="60" spans="1:9" x14ac:dyDescent="0.2">
      <c r="A60" s="11">
        <v>47</v>
      </c>
      <c r="B60" s="23" t="s">
        <v>132</v>
      </c>
      <c r="C60" s="24">
        <v>81793146560</v>
      </c>
      <c r="D60" s="23" t="s">
        <v>133</v>
      </c>
      <c r="E60" s="8">
        <v>1928.26</v>
      </c>
      <c r="F60" s="5" t="s">
        <v>10</v>
      </c>
      <c r="G60" s="2" t="s">
        <v>292</v>
      </c>
    </row>
    <row r="61" spans="1:9" x14ac:dyDescent="0.2">
      <c r="A61" s="11">
        <v>48</v>
      </c>
      <c r="B61" s="5" t="s">
        <v>443</v>
      </c>
      <c r="C61" s="11" t="s">
        <v>17</v>
      </c>
      <c r="D61" s="5" t="s">
        <v>17</v>
      </c>
      <c r="E61" s="8">
        <v>200</v>
      </c>
      <c r="F61" s="5" t="s">
        <v>10</v>
      </c>
      <c r="G61" s="2" t="s">
        <v>179</v>
      </c>
      <c r="I61" s="13"/>
    </row>
    <row r="62" spans="1:9" x14ac:dyDescent="0.2">
      <c r="A62" s="11">
        <v>49</v>
      </c>
      <c r="B62" s="5" t="s">
        <v>17</v>
      </c>
      <c r="C62" s="11" t="s">
        <v>17</v>
      </c>
      <c r="D62" s="5" t="s">
        <v>17</v>
      </c>
      <c r="E62" s="8">
        <v>796.34</v>
      </c>
      <c r="F62" s="5" t="s">
        <v>10</v>
      </c>
      <c r="G62" s="2" t="s">
        <v>1134</v>
      </c>
    </row>
    <row r="63" spans="1:9" x14ac:dyDescent="0.2">
      <c r="A63" s="11">
        <v>50</v>
      </c>
      <c r="B63" s="5" t="s">
        <v>313</v>
      </c>
      <c r="C63" s="11">
        <v>74867487620</v>
      </c>
      <c r="D63" s="5" t="s">
        <v>314</v>
      </c>
      <c r="E63" s="8">
        <v>448.98</v>
      </c>
      <c r="F63" s="5" t="s">
        <v>10</v>
      </c>
      <c r="G63" s="2" t="s">
        <v>23</v>
      </c>
    </row>
    <row r="64" spans="1:9" x14ac:dyDescent="0.2">
      <c r="A64" s="11">
        <v>51</v>
      </c>
      <c r="B64" s="5" t="s">
        <v>138</v>
      </c>
      <c r="C64" s="11">
        <v>46163832762</v>
      </c>
      <c r="D64" s="5" t="s">
        <v>202</v>
      </c>
      <c r="E64" s="8">
        <v>219.37</v>
      </c>
      <c r="F64" s="5" t="s">
        <v>10</v>
      </c>
      <c r="G64" s="2" t="s">
        <v>112</v>
      </c>
    </row>
    <row r="65" spans="1:9" x14ac:dyDescent="0.2">
      <c r="A65" s="11">
        <v>52</v>
      </c>
      <c r="B65" s="5" t="s">
        <v>140</v>
      </c>
      <c r="C65" s="11">
        <v>41412434130</v>
      </c>
      <c r="D65" s="5" t="s">
        <v>197</v>
      </c>
      <c r="E65" s="8">
        <v>67.28</v>
      </c>
      <c r="F65" s="5" t="s">
        <v>10</v>
      </c>
      <c r="G65" s="2" t="s">
        <v>112</v>
      </c>
    </row>
    <row r="66" spans="1:9" x14ac:dyDescent="0.2">
      <c r="A66" s="11">
        <v>53</v>
      </c>
      <c r="B66" s="5" t="s">
        <v>855</v>
      </c>
      <c r="C66" s="11">
        <v>41317489366</v>
      </c>
      <c r="D66" s="5" t="s">
        <v>856</v>
      </c>
      <c r="E66" s="8">
        <v>1.4</v>
      </c>
      <c r="F66" s="5" t="s">
        <v>10</v>
      </c>
      <c r="G66" s="2" t="s">
        <v>263</v>
      </c>
      <c r="I66" s="13"/>
    </row>
    <row r="67" spans="1:9" x14ac:dyDescent="0.2">
      <c r="A67" s="11">
        <v>54</v>
      </c>
      <c r="B67" s="5" t="s">
        <v>142</v>
      </c>
      <c r="C67" s="12" t="s">
        <v>203</v>
      </c>
      <c r="D67" s="5" t="s">
        <v>204</v>
      </c>
      <c r="E67" s="8">
        <v>114.53</v>
      </c>
      <c r="F67" s="5" t="s">
        <v>10</v>
      </c>
      <c r="G67" s="2" t="s">
        <v>112</v>
      </c>
    </row>
    <row r="68" spans="1:9" x14ac:dyDescent="0.2">
      <c r="A68" s="11">
        <v>55</v>
      </c>
      <c r="B68" s="5" t="s">
        <v>143</v>
      </c>
      <c r="C68" s="11">
        <v>85584865987</v>
      </c>
      <c r="D68" s="5" t="s">
        <v>205</v>
      </c>
      <c r="E68" s="8">
        <v>948.83</v>
      </c>
      <c r="F68" s="5" t="s">
        <v>10</v>
      </c>
      <c r="G68" s="2" t="s">
        <v>112</v>
      </c>
    </row>
    <row r="69" spans="1:9" x14ac:dyDescent="0.2">
      <c r="A69" s="11">
        <v>56</v>
      </c>
      <c r="B69" s="5" t="s">
        <v>144</v>
      </c>
      <c r="C69" s="11" t="s">
        <v>740</v>
      </c>
      <c r="D69" s="5" t="s">
        <v>740</v>
      </c>
      <c r="E69" s="8">
        <v>1008</v>
      </c>
      <c r="F69" s="5" t="s">
        <v>10</v>
      </c>
      <c r="G69" s="2" t="s">
        <v>145</v>
      </c>
    </row>
    <row r="70" spans="1:9" x14ac:dyDescent="0.2">
      <c r="A70" s="11">
        <v>57</v>
      </c>
      <c r="B70" s="5" t="s">
        <v>1103</v>
      </c>
      <c r="C70" s="11">
        <v>82298562620</v>
      </c>
      <c r="D70" s="5" t="s">
        <v>1106</v>
      </c>
      <c r="E70" s="8">
        <v>34.01</v>
      </c>
      <c r="F70" s="5" t="s">
        <v>10</v>
      </c>
      <c r="G70" s="2" t="s">
        <v>23</v>
      </c>
    </row>
    <row r="71" spans="1:9" x14ac:dyDescent="0.2">
      <c r="A71" s="11">
        <v>58</v>
      </c>
      <c r="B71" s="5" t="s">
        <v>868</v>
      </c>
      <c r="C71" s="11">
        <v>11374156664</v>
      </c>
      <c r="D71" s="5" t="s">
        <v>869</v>
      </c>
      <c r="E71" s="8">
        <v>387.58</v>
      </c>
      <c r="F71" s="5" t="s">
        <v>10</v>
      </c>
      <c r="G71" s="2" t="s">
        <v>23</v>
      </c>
    </row>
    <row r="72" spans="1:9" x14ac:dyDescent="0.2">
      <c r="A72" s="11">
        <v>59</v>
      </c>
      <c r="B72" s="5" t="s">
        <v>405</v>
      </c>
      <c r="C72" s="11">
        <v>38411868043</v>
      </c>
      <c r="D72" s="5" t="s">
        <v>406</v>
      </c>
      <c r="E72" s="8">
        <v>3000</v>
      </c>
      <c r="F72" s="5" t="s">
        <v>10</v>
      </c>
      <c r="G72" s="2" t="s">
        <v>23</v>
      </c>
    </row>
    <row r="73" spans="1:9" x14ac:dyDescent="0.2">
      <c r="A73" s="11">
        <v>60</v>
      </c>
      <c r="B73" s="5" t="s">
        <v>282</v>
      </c>
      <c r="C73" s="11">
        <v>55175013491</v>
      </c>
      <c r="D73" s="5" t="s">
        <v>283</v>
      </c>
      <c r="E73" s="8">
        <v>26587.23</v>
      </c>
      <c r="F73" s="5" t="s">
        <v>10</v>
      </c>
      <c r="G73" s="2" t="s">
        <v>23</v>
      </c>
    </row>
    <row r="74" spans="1:9" x14ac:dyDescent="0.2">
      <c r="A74" s="11">
        <v>61</v>
      </c>
      <c r="B74" s="5" t="s">
        <v>249</v>
      </c>
      <c r="C74" s="11">
        <v>26004523816</v>
      </c>
      <c r="D74" s="5" t="s">
        <v>251</v>
      </c>
      <c r="E74" s="8">
        <v>601.13</v>
      </c>
      <c r="F74" s="5" t="s">
        <v>10</v>
      </c>
      <c r="G74" s="2" t="s">
        <v>23</v>
      </c>
    </row>
    <row r="75" spans="1:9" x14ac:dyDescent="0.2">
      <c r="A75" s="11">
        <v>62</v>
      </c>
      <c r="B75" s="5" t="s">
        <v>364</v>
      </c>
      <c r="C75" s="11">
        <v>42769559951</v>
      </c>
      <c r="D75" s="5" t="s">
        <v>365</v>
      </c>
      <c r="E75" s="8">
        <v>21830.58</v>
      </c>
      <c r="F75" s="5" t="s">
        <v>10</v>
      </c>
      <c r="G75" s="2" t="s">
        <v>23</v>
      </c>
    </row>
    <row r="76" spans="1:9" x14ac:dyDescent="0.2">
      <c r="A76" s="11">
        <v>63</v>
      </c>
      <c r="B76" s="5" t="s">
        <v>857</v>
      </c>
      <c r="C76" s="11">
        <v>29035933600</v>
      </c>
      <c r="D76" s="5" t="s">
        <v>447</v>
      </c>
      <c r="E76" s="8">
        <v>3407.92</v>
      </c>
      <c r="F76" s="5" t="s">
        <v>10</v>
      </c>
      <c r="G76" s="2" t="s">
        <v>263</v>
      </c>
    </row>
    <row r="77" spans="1:9" x14ac:dyDescent="0.2">
      <c r="A77" s="11">
        <v>64</v>
      </c>
      <c r="B77" s="5" t="s">
        <v>1245</v>
      </c>
      <c r="C77" s="12" t="s">
        <v>1246</v>
      </c>
      <c r="D77" s="5" t="s">
        <v>1247</v>
      </c>
      <c r="E77" s="8">
        <v>2207.5300000000002</v>
      </c>
      <c r="F77" s="5" t="s">
        <v>10</v>
      </c>
      <c r="G77" s="2" t="s">
        <v>23</v>
      </c>
    </row>
    <row r="78" spans="1:9" x14ac:dyDescent="0.2">
      <c r="A78" s="11">
        <v>65</v>
      </c>
      <c r="B78" s="5" t="s">
        <v>1248</v>
      </c>
      <c r="C78" s="11">
        <v>33911499305</v>
      </c>
      <c r="D78" s="5" t="s">
        <v>1249</v>
      </c>
      <c r="E78" s="8">
        <v>6231.25</v>
      </c>
      <c r="F78" s="5" t="s">
        <v>10</v>
      </c>
      <c r="G78" s="2" t="s">
        <v>23</v>
      </c>
    </row>
    <row r="79" spans="1:9" x14ac:dyDescent="0.2">
      <c r="A79" s="11">
        <v>66</v>
      </c>
      <c r="B79" s="5" t="s">
        <v>157</v>
      </c>
      <c r="C79" s="11" t="s">
        <v>216</v>
      </c>
      <c r="D79" s="5" t="s">
        <v>158</v>
      </c>
      <c r="E79" s="8">
        <v>6000</v>
      </c>
      <c r="F79" s="5" t="s">
        <v>10</v>
      </c>
      <c r="G79" s="2" t="s">
        <v>23</v>
      </c>
    </row>
    <row r="80" spans="1:9" x14ac:dyDescent="0.2">
      <c r="A80" s="11">
        <v>67</v>
      </c>
      <c r="B80" s="5" t="s">
        <v>860</v>
      </c>
      <c r="C80" s="11">
        <v>44307963093</v>
      </c>
      <c r="D80" s="5" t="s">
        <v>861</v>
      </c>
      <c r="E80" s="8">
        <f>2945+6175</f>
        <v>9120</v>
      </c>
      <c r="F80" s="5" t="s">
        <v>10</v>
      </c>
      <c r="G80" s="2" t="s">
        <v>23</v>
      </c>
    </row>
    <row r="81" spans="1:9" x14ac:dyDescent="0.2">
      <c r="A81" s="11">
        <v>68</v>
      </c>
      <c r="B81" s="5" t="s">
        <v>96</v>
      </c>
      <c r="C81" s="11">
        <v>78997473821</v>
      </c>
      <c r="D81" s="5" t="s">
        <v>98</v>
      </c>
      <c r="E81" s="8">
        <v>251.37</v>
      </c>
      <c r="F81" s="5" t="s">
        <v>10</v>
      </c>
      <c r="G81" s="2" t="s">
        <v>97</v>
      </c>
    </row>
    <row r="82" spans="1:9" x14ac:dyDescent="0.2">
      <c r="A82" s="11">
        <v>69</v>
      </c>
      <c r="B82" s="5" t="s">
        <v>162</v>
      </c>
      <c r="C82" s="11">
        <v>58353015102</v>
      </c>
      <c r="D82" s="5" t="s">
        <v>219</v>
      </c>
      <c r="E82" s="8">
        <v>95.93</v>
      </c>
      <c r="F82" s="5" t="s">
        <v>10</v>
      </c>
      <c r="G82" s="2" t="s">
        <v>23</v>
      </c>
    </row>
    <row r="83" spans="1:9" x14ac:dyDescent="0.2">
      <c r="A83" s="11">
        <v>70</v>
      </c>
      <c r="B83" s="19" t="s">
        <v>1235</v>
      </c>
      <c r="C83" s="36">
        <v>77022388360</v>
      </c>
      <c r="D83" s="19" t="s">
        <v>1236</v>
      </c>
      <c r="E83" s="15">
        <v>90.93</v>
      </c>
      <c r="F83" s="5" t="s">
        <v>10</v>
      </c>
      <c r="G83" s="2" t="s">
        <v>23</v>
      </c>
    </row>
    <row r="84" spans="1:9" x14ac:dyDescent="0.2">
      <c r="A84" s="11">
        <v>71</v>
      </c>
      <c r="B84" s="44" t="s">
        <v>1237</v>
      </c>
      <c r="C84" s="46" t="s">
        <v>1238</v>
      </c>
      <c r="D84" s="44" t="s">
        <v>1239</v>
      </c>
      <c r="E84" s="8">
        <v>30.95</v>
      </c>
      <c r="F84" s="5" t="s">
        <v>10</v>
      </c>
      <c r="G84" s="2" t="s">
        <v>23</v>
      </c>
    </row>
    <row r="85" spans="1:9" x14ac:dyDescent="0.2">
      <c r="A85" s="11">
        <v>72</v>
      </c>
      <c r="B85" s="5" t="s">
        <v>165</v>
      </c>
      <c r="C85" s="11">
        <v>62534176727</v>
      </c>
      <c r="D85" s="5" t="s">
        <v>222</v>
      </c>
      <c r="E85" s="8">
        <v>1118.25</v>
      </c>
      <c r="F85" s="5" t="s">
        <v>10</v>
      </c>
      <c r="G85" s="2" t="s">
        <v>23</v>
      </c>
    </row>
    <row r="86" spans="1:9" x14ac:dyDescent="0.2">
      <c r="A86" s="11">
        <v>73</v>
      </c>
      <c r="B86" s="5" t="s">
        <v>1148</v>
      </c>
      <c r="C86" s="11">
        <v>48293321289</v>
      </c>
      <c r="D86" s="5" t="s">
        <v>1240</v>
      </c>
      <c r="E86" s="15">
        <v>30000</v>
      </c>
      <c r="F86" s="19" t="s">
        <v>10</v>
      </c>
      <c r="G86" s="28" t="s">
        <v>23</v>
      </c>
    </row>
    <row r="87" spans="1:9" x14ac:dyDescent="0.2">
      <c r="A87" s="11">
        <v>74</v>
      </c>
      <c r="B87" s="23" t="s">
        <v>168</v>
      </c>
      <c r="C87" s="24">
        <v>87682591133</v>
      </c>
      <c r="D87" s="23" t="s">
        <v>223</v>
      </c>
      <c r="E87" s="15">
        <v>24400.560000000001</v>
      </c>
      <c r="F87" s="23" t="s">
        <v>10</v>
      </c>
      <c r="G87" s="28" t="s">
        <v>23</v>
      </c>
      <c r="I87" s="13"/>
    </row>
    <row r="88" spans="1:9" x14ac:dyDescent="0.2">
      <c r="A88" s="11">
        <v>75</v>
      </c>
      <c r="B88" s="50" t="s">
        <v>169</v>
      </c>
      <c r="C88" s="11">
        <v>19849957757</v>
      </c>
      <c r="D88" s="50" t="s">
        <v>225</v>
      </c>
      <c r="E88" s="8">
        <v>13494.76</v>
      </c>
      <c r="F88" s="50" t="s">
        <v>10</v>
      </c>
      <c r="G88" s="2" t="s">
        <v>23</v>
      </c>
    </row>
    <row r="89" spans="1:9" x14ac:dyDescent="0.2">
      <c r="A89" s="11">
        <v>76</v>
      </c>
      <c r="B89" s="33" t="s">
        <v>1250</v>
      </c>
      <c r="C89" s="37">
        <v>82617270885</v>
      </c>
      <c r="D89" s="33" t="s">
        <v>878</v>
      </c>
      <c r="E89" s="17">
        <v>50</v>
      </c>
      <c r="F89" s="33" t="s">
        <v>10</v>
      </c>
      <c r="G89" s="34" t="s">
        <v>23</v>
      </c>
    </row>
    <row r="90" spans="1:9" x14ac:dyDescent="0.2">
      <c r="A90" s="11">
        <v>77</v>
      </c>
      <c r="B90" s="5" t="s">
        <v>730</v>
      </c>
      <c r="C90" s="11">
        <v>85821130368</v>
      </c>
      <c r="D90" s="5" t="s">
        <v>731</v>
      </c>
      <c r="E90" s="8">
        <v>49.8</v>
      </c>
      <c r="F90" s="27" t="s">
        <v>10</v>
      </c>
      <c r="G90" s="2" t="s">
        <v>176</v>
      </c>
    </row>
    <row r="91" spans="1:9" x14ac:dyDescent="0.2">
      <c r="A91" s="11">
        <v>78</v>
      </c>
      <c r="B91" s="5" t="s">
        <v>1251</v>
      </c>
      <c r="C91" s="11" t="s">
        <v>1252</v>
      </c>
      <c r="D91" s="5" t="s">
        <v>1253</v>
      </c>
      <c r="E91" s="8">
        <v>12240</v>
      </c>
      <c r="F91" s="5" t="s">
        <v>10</v>
      </c>
      <c r="G91" s="2" t="s">
        <v>23</v>
      </c>
    </row>
    <row r="92" spans="1:9" x14ac:dyDescent="0.2">
      <c r="A92" s="11">
        <v>79</v>
      </c>
      <c r="B92" s="5" t="s">
        <v>852</v>
      </c>
      <c r="C92" s="11">
        <v>94472454976</v>
      </c>
      <c r="D92" s="5" t="s">
        <v>853</v>
      </c>
      <c r="E92" s="8">
        <v>5705.64</v>
      </c>
      <c r="F92" s="5" t="s">
        <v>10</v>
      </c>
      <c r="G92" s="2" t="s">
        <v>854</v>
      </c>
    </row>
    <row r="93" spans="1:9" x14ac:dyDescent="0.2">
      <c r="A93" s="11">
        <v>80</v>
      </c>
      <c r="B93" s="5" t="s">
        <v>17</v>
      </c>
      <c r="C93" s="11" t="s">
        <v>17</v>
      </c>
      <c r="D93" s="5" t="s">
        <v>17</v>
      </c>
      <c r="E93" s="8">
        <v>5600</v>
      </c>
      <c r="F93" s="5" t="s">
        <v>10</v>
      </c>
      <c r="G93" s="2" t="s">
        <v>177</v>
      </c>
    </row>
    <row r="94" spans="1:9" x14ac:dyDescent="0.2">
      <c r="A94" s="11">
        <v>81</v>
      </c>
      <c r="B94" s="19" t="s">
        <v>17</v>
      </c>
      <c r="C94" s="36" t="s">
        <v>17</v>
      </c>
      <c r="D94" s="19" t="s">
        <v>17</v>
      </c>
      <c r="E94" s="15">
        <f>360+1394.01</f>
        <v>1754.01</v>
      </c>
      <c r="F94" s="19" t="s">
        <v>10</v>
      </c>
      <c r="G94" s="28" t="s">
        <v>178</v>
      </c>
    </row>
    <row r="95" spans="1:9" x14ac:dyDescent="0.2">
      <c r="A95" s="11">
        <v>82</v>
      </c>
      <c r="B95" s="5" t="s">
        <v>1254</v>
      </c>
      <c r="C95" s="12" t="s">
        <v>1255</v>
      </c>
      <c r="D95" s="5" t="s">
        <v>1256</v>
      </c>
      <c r="E95" s="8">
        <v>66.7</v>
      </c>
      <c r="F95" s="5" t="s">
        <v>10</v>
      </c>
      <c r="G95" s="2" t="s">
        <v>23</v>
      </c>
    </row>
    <row r="96" spans="1:9" x14ac:dyDescent="0.2">
      <c r="A96" s="11">
        <v>83</v>
      </c>
      <c r="B96" s="5" t="s">
        <v>230</v>
      </c>
      <c r="C96" s="11">
        <v>62969535840</v>
      </c>
      <c r="D96" s="5" t="s">
        <v>231</v>
      </c>
      <c r="E96" s="20">
        <v>2210.2399999999998</v>
      </c>
      <c r="F96" s="40" t="s">
        <v>10</v>
      </c>
      <c r="G96" s="41" t="s">
        <v>23</v>
      </c>
    </row>
    <row r="97" spans="1:9" x14ac:dyDescent="0.2">
      <c r="A97" s="11">
        <v>84</v>
      </c>
      <c r="B97" s="44" t="s">
        <v>181</v>
      </c>
      <c r="C97" s="45">
        <v>71642207963</v>
      </c>
      <c r="D97" s="44" t="s">
        <v>232</v>
      </c>
      <c r="E97" s="8">
        <v>13.2</v>
      </c>
      <c r="F97" s="5" t="s">
        <v>10</v>
      </c>
      <c r="G97" s="2" t="s">
        <v>23</v>
      </c>
    </row>
    <row r="98" spans="1:9" x14ac:dyDescent="0.2">
      <c r="A98" s="11">
        <v>85</v>
      </c>
      <c r="B98" s="5" t="s">
        <v>1241</v>
      </c>
      <c r="C98" s="11" t="s">
        <v>1242</v>
      </c>
      <c r="D98" s="5" t="s">
        <v>1243</v>
      </c>
      <c r="E98" s="8">
        <v>38860.959999999999</v>
      </c>
      <c r="F98" s="5" t="s">
        <v>10</v>
      </c>
      <c r="G98" s="2" t="s">
        <v>23</v>
      </c>
    </row>
    <row r="99" spans="1:9" x14ac:dyDescent="0.2">
      <c r="A99" s="11">
        <v>86</v>
      </c>
      <c r="B99" s="5" t="s">
        <v>704</v>
      </c>
      <c r="C99" s="11">
        <v>11294943436</v>
      </c>
      <c r="D99" s="5" t="s">
        <v>705</v>
      </c>
      <c r="E99" s="8">
        <v>168.18</v>
      </c>
      <c r="F99" s="5" t="s">
        <v>10</v>
      </c>
      <c r="G99" s="2" t="s">
        <v>112</v>
      </c>
    </row>
    <row r="100" spans="1:9" x14ac:dyDescent="0.2">
      <c r="A100" s="11">
        <v>87</v>
      </c>
      <c r="B100" s="5" t="s">
        <v>424</v>
      </c>
      <c r="C100" s="11">
        <v>40480660548</v>
      </c>
      <c r="D100" s="5" t="s">
        <v>425</v>
      </c>
      <c r="E100" s="8">
        <v>306.25</v>
      </c>
      <c r="F100" s="5" t="s">
        <v>10</v>
      </c>
      <c r="G100" s="2" t="s">
        <v>23</v>
      </c>
    </row>
    <row r="101" spans="1:9" x14ac:dyDescent="0.2">
      <c r="A101" s="11">
        <v>88</v>
      </c>
      <c r="B101" s="5" t="s">
        <v>144</v>
      </c>
      <c r="C101" s="11" t="s">
        <v>740</v>
      </c>
      <c r="D101" s="5" t="s">
        <v>740</v>
      </c>
      <c r="E101" s="8">
        <v>1377.09</v>
      </c>
      <c r="F101" s="5" t="s">
        <v>10</v>
      </c>
      <c r="G101" s="2" t="s">
        <v>1005</v>
      </c>
    </row>
    <row r="102" spans="1:9" x14ac:dyDescent="0.2">
      <c r="A102" s="11">
        <v>89</v>
      </c>
      <c r="B102" s="5" t="s">
        <v>896</v>
      </c>
      <c r="C102" s="11">
        <v>28440665923</v>
      </c>
      <c r="D102" s="5" t="s">
        <v>897</v>
      </c>
      <c r="E102" s="8">
        <v>60</v>
      </c>
      <c r="F102" s="5" t="s">
        <v>10</v>
      </c>
      <c r="G102" s="2" t="s">
        <v>330</v>
      </c>
    </row>
    <row r="103" spans="1:9" x14ac:dyDescent="0.2">
      <c r="A103" s="11">
        <v>90</v>
      </c>
      <c r="B103" s="5" t="s">
        <v>1091</v>
      </c>
      <c r="C103" s="11" t="s">
        <v>1093</v>
      </c>
      <c r="D103" s="5" t="s">
        <v>1092</v>
      </c>
      <c r="E103" s="15">
        <v>270</v>
      </c>
      <c r="F103" s="19" t="s">
        <v>10</v>
      </c>
      <c r="G103" s="28" t="s">
        <v>23</v>
      </c>
    </row>
    <row r="104" spans="1:9" x14ac:dyDescent="0.2">
      <c r="A104" s="11">
        <v>91</v>
      </c>
      <c r="B104" s="23" t="s">
        <v>191</v>
      </c>
      <c r="C104" s="24">
        <v>34421776805</v>
      </c>
      <c r="D104" s="23" t="s">
        <v>240</v>
      </c>
      <c r="E104" s="8">
        <v>3041.66</v>
      </c>
      <c r="F104" s="44" t="s">
        <v>10</v>
      </c>
      <c r="G104" s="2" t="s">
        <v>192</v>
      </c>
    </row>
    <row r="105" spans="1:9" x14ac:dyDescent="0.2">
      <c r="A105" s="11">
        <v>92</v>
      </c>
      <c r="B105" s="5" t="s">
        <v>17</v>
      </c>
      <c r="C105" s="11" t="s">
        <v>17</v>
      </c>
      <c r="D105" s="5" t="s">
        <v>17</v>
      </c>
      <c r="E105" s="17">
        <v>47.2</v>
      </c>
      <c r="F105" s="33" t="s">
        <v>10</v>
      </c>
      <c r="G105" s="34" t="s">
        <v>635</v>
      </c>
    </row>
    <row r="106" spans="1:9" x14ac:dyDescent="0.2">
      <c r="A106" s="11">
        <v>93</v>
      </c>
      <c r="B106" s="5" t="s">
        <v>17</v>
      </c>
      <c r="C106" s="11" t="s">
        <v>17</v>
      </c>
      <c r="D106" s="5" t="s">
        <v>17</v>
      </c>
      <c r="E106" s="8">
        <v>413.44</v>
      </c>
      <c r="F106" s="5" t="s">
        <v>10</v>
      </c>
      <c r="G106" s="2" t="s">
        <v>194</v>
      </c>
    </row>
    <row r="107" spans="1:9" x14ac:dyDescent="0.2">
      <c r="A107" s="11">
        <v>94</v>
      </c>
      <c r="B107" s="5" t="s">
        <v>1257</v>
      </c>
      <c r="C107" s="11">
        <v>61373622132</v>
      </c>
      <c r="D107" s="5" t="s">
        <v>1258</v>
      </c>
      <c r="E107" s="8">
        <v>302.51</v>
      </c>
      <c r="F107" s="5" t="s">
        <v>10</v>
      </c>
      <c r="G107" s="2" t="s">
        <v>23</v>
      </c>
    </row>
    <row r="108" spans="1:9" x14ac:dyDescent="0.2">
      <c r="A108" s="11">
        <v>95</v>
      </c>
      <c r="B108" s="5" t="s">
        <v>787</v>
      </c>
      <c r="C108" s="11" t="s">
        <v>788</v>
      </c>
      <c r="D108" s="5" t="s">
        <v>789</v>
      </c>
      <c r="E108" s="8">
        <v>2184.1999999999998</v>
      </c>
      <c r="F108" s="5" t="s">
        <v>10</v>
      </c>
      <c r="G108" s="2" t="s">
        <v>23</v>
      </c>
    </row>
    <row r="109" spans="1:9" x14ac:dyDescent="0.2">
      <c r="A109" s="11">
        <v>96</v>
      </c>
      <c r="B109" s="5" t="s">
        <v>242</v>
      </c>
      <c r="C109" s="11">
        <v>49800593791</v>
      </c>
      <c r="D109" s="5" t="s">
        <v>244</v>
      </c>
      <c r="E109" s="8">
        <v>10191.27</v>
      </c>
      <c r="F109" s="5" t="s">
        <v>10</v>
      </c>
      <c r="G109" s="2" t="s">
        <v>243</v>
      </c>
    </row>
    <row r="110" spans="1:9" x14ac:dyDescent="0.2">
      <c r="A110" s="11">
        <v>97</v>
      </c>
      <c r="B110" s="5" t="s">
        <v>658</v>
      </c>
      <c r="C110" s="11">
        <v>24846301629</v>
      </c>
      <c r="D110" s="5" t="s">
        <v>659</v>
      </c>
      <c r="E110" s="15">
        <v>49.16</v>
      </c>
      <c r="F110" s="19" t="s">
        <v>10</v>
      </c>
      <c r="G110" s="28" t="s">
        <v>23</v>
      </c>
      <c r="H110" s="13"/>
    </row>
    <row r="111" spans="1:9" x14ac:dyDescent="0.2">
      <c r="A111" s="11">
        <v>98</v>
      </c>
      <c r="B111" s="44" t="s">
        <v>248</v>
      </c>
      <c r="C111" s="45">
        <v>47428597158</v>
      </c>
      <c r="D111" s="44" t="s">
        <v>250</v>
      </c>
      <c r="E111" s="8">
        <v>3858.01</v>
      </c>
      <c r="F111" s="44" t="s">
        <v>10</v>
      </c>
      <c r="G111" s="2" t="s">
        <v>23</v>
      </c>
      <c r="I111" s="13"/>
    </row>
    <row r="112" spans="1:9" x14ac:dyDescent="0.2">
      <c r="A112" s="11">
        <v>99</v>
      </c>
      <c r="B112" s="5" t="s">
        <v>719</v>
      </c>
      <c r="C112" s="11">
        <v>88470929840</v>
      </c>
      <c r="D112" s="5" t="s">
        <v>720</v>
      </c>
      <c r="E112" s="8">
        <v>116.25</v>
      </c>
      <c r="F112" s="5" t="s">
        <v>10</v>
      </c>
      <c r="G112" s="2" t="s">
        <v>23</v>
      </c>
    </row>
    <row r="113" spans="1:9" x14ac:dyDescent="0.2">
      <c r="A113" s="11">
        <v>100</v>
      </c>
      <c r="B113" s="5" t="s">
        <v>252</v>
      </c>
      <c r="C113" s="12" t="s">
        <v>254</v>
      </c>
      <c r="D113" s="5" t="s">
        <v>253</v>
      </c>
      <c r="E113" s="8">
        <f>204.63+316.75</f>
        <v>521.38</v>
      </c>
      <c r="F113" s="5" t="s">
        <v>10</v>
      </c>
      <c r="G113" s="2" t="s">
        <v>112</v>
      </c>
    </row>
    <row r="114" spans="1:9" x14ac:dyDescent="0.2">
      <c r="A114" s="11">
        <v>101</v>
      </c>
      <c r="B114" s="5" t="s">
        <v>587</v>
      </c>
      <c r="C114" s="11" t="s">
        <v>612</v>
      </c>
      <c r="D114" s="5" t="s">
        <v>611</v>
      </c>
      <c r="E114" s="8">
        <v>8573.1</v>
      </c>
      <c r="F114" s="5" t="s">
        <v>10</v>
      </c>
      <c r="G114" s="2" t="s">
        <v>23</v>
      </c>
    </row>
    <row r="115" spans="1:9" x14ac:dyDescent="0.2">
      <c r="A115" s="11">
        <v>102</v>
      </c>
      <c r="B115" s="5" t="s">
        <v>257</v>
      </c>
      <c r="C115" s="11">
        <v>25392808959</v>
      </c>
      <c r="D115" s="5" t="s">
        <v>258</v>
      </c>
      <c r="E115" s="8">
        <v>25256.5</v>
      </c>
      <c r="F115" s="5" t="s">
        <v>10</v>
      </c>
      <c r="G115" s="2" t="s">
        <v>23</v>
      </c>
      <c r="I115" s="13"/>
    </row>
    <row r="116" spans="1:9" x14ac:dyDescent="0.2">
      <c r="A116" s="11">
        <v>103</v>
      </c>
      <c r="B116" s="5" t="s">
        <v>1070</v>
      </c>
      <c r="C116" s="11">
        <v>73294314024</v>
      </c>
      <c r="D116" s="5" t="s">
        <v>675</v>
      </c>
      <c r="E116" s="8">
        <f>397.48+20.38</f>
        <v>417.86</v>
      </c>
      <c r="F116" s="5" t="s">
        <v>10</v>
      </c>
      <c r="G116" s="2" t="s">
        <v>662</v>
      </c>
    </row>
    <row r="117" spans="1:9" x14ac:dyDescent="0.2">
      <c r="A117" s="11">
        <v>104</v>
      </c>
      <c r="B117" s="5" t="s">
        <v>974</v>
      </c>
      <c r="C117" s="11">
        <v>89984971143</v>
      </c>
      <c r="D117" s="5" t="s">
        <v>975</v>
      </c>
      <c r="E117" s="8">
        <v>13.75</v>
      </c>
      <c r="F117" s="5" t="s">
        <v>10</v>
      </c>
      <c r="G117" s="2" t="s">
        <v>23</v>
      </c>
    </row>
    <row r="118" spans="1:9" x14ac:dyDescent="0.2">
      <c r="A118" s="11">
        <v>105</v>
      </c>
      <c r="B118" s="5" t="s">
        <v>512</v>
      </c>
      <c r="C118" s="11">
        <v>44284514731</v>
      </c>
      <c r="D118" s="5" t="s">
        <v>514</v>
      </c>
      <c r="E118" s="8">
        <v>287.24</v>
      </c>
      <c r="F118" s="5" t="s">
        <v>10</v>
      </c>
      <c r="G118" s="2" t="s">
        <v>23</v>
      </c>
    </row>
    <row r="119" spans="1:9" x14ac:dyDescent="0.2">
      <c r="A119" s="11">
        <v>106</v>
      </c>
      <c r="B119" s="5" t="s">
        <v>54</v>
      </c>
      <c r="C119" s="12" t="s">
        <v>69</v>
      </c>
      <c r="D119" s="5" t="s">
        <v>68</v>
      </c>
      <c r="E119" s="8">
        <v>6142.5</v>
      </c>
      <c r="F119" s="5" t="s">
        <v>10</v>
      </c>
      <c r="G119" s="2" t="s">
        <v>55</v>
      </c>
    </row>
    <row r="120" spans="1:9" x14ac:dyDescent="0.2">
      <c r="A120" s="11">
        <v>107</v>
      </c>
      <c r="B120" s="5" t="s">
        <v>709</v>
      </c>
      <c r="C120" s="11">
        <v>34604734054</v>
      </c>
      <c r="D120" s="5" t="s">
        <v>710</v>
      </c>
      <c r="E120" s="8">
        <v>59.06</v>
      </c>
      <c r="F120" s="5" t="s">
        <v>10</v>
      </c>
      <c r="G120" s="2" t="s">
        <v>330</v>
      </c>
      <c r="H120" s="13"/>
    </row>
    <row r="121" spans="1:9" x14ac:dyDescent="0.2">
      <c r="A121" s="11">
        <v>108</v>
      </c>
      <c r="B121" s="5" t="s">
        <v>1259</v>
      </c>
      <c r="C121" s="11">
        <v>58938691385</v>
      </c>
      <c r="D121" s="5" t="s">
        <v>1260</v>
      </c>
      <c r="E121" s="8">
        <v>1187.5</v>
      </c>
      <c r="F121" s="5" t="s">
        <v>10</v>
      </c>
      <c r="G121" s="2" t="s">
        <v>1261</v>
      </c>
    </row>
    <row r="122" spans="1:9" x14ac:dyDescent="0.2">
      <c r="A122" s="11">
        <v>109</v>
      </c>
      <c r="B122" s="5" t="s">
        <v>265</v>
      </c>
      <c r="C122" s="11">
        <v>63988426425</v>
      </c>
      <c r="D122" s="5" t="s">
        <v>266</v>
      </c>
      <c r="E122" s="8">
        <v>42131.28</v>
      </c>
      <c r="F122" s="5" t="s">
        <v>10</v>
      </c>
      <c r="G122" s="2" t="s">
        <v>23</v>
      </c>
    </row>
    <row r="123" spans="1:9" x14ac:dyDescent="0.2">
      <c r="A123" s="11">
        <v>110</v>
      </c>
      <c r="B123" s="5" t="s">
        <v>1150</v>
      </c>
      <c r="C123" s="11">
        <v>75989437093</v>
      </c>
      <c r="D123" s="5" t="s">
        <v>1151</v>
      </c>
      <c r="E123" s="8">
        <v>206.25</v>
      </c>
      <c r="F123" s="5" t="s">
        <v>10</v>
      </c>
      <c r="G123" s="2" t="s">
        <v>23</v>
      </c>
    </row>
    <row r="124" spans="1:9" x14ac:dyDescent="0.2">
      <c r="A124" s="11">
        <v>111</v>
      </c>
      <c r="B124" s="5" t="s">
        <v>102</v>
      </c>
      <c r="C124" s="11">
        <v>981494061</v>
      </c>
      <c r="D124" s="5" t="s">
        <v>103</v>
      </c>
      <c r="E124" s="8">
        <v>836.34</v>
      </c>
      <c r="F124" s="5" t="s">
        <v>10</v>
      </c>
      <c r="G124" s="2" t="s">
        <v>62</v>
      </c>
    </row>
    <row r="125" spans="1:9" x14ac:dyDescent="0.2">
      <c r="A125" s="11">
        <v>112</v>
      </c>
      <c r="B125" s="5" t="s">
        <v>691</v>
      </c>
      <c r="C125" s="11">
        <v>31826907316</v>
      </c>
      <c r="D125" s="5" t="s">
        <v>692</v>
      </c>
      <c r="E125" s="8">
        <v>489.29</v>
      </c>
      <c r="F125" s="5" t="s">
        <v>10</v>
      </c>
      <c r="G125" s="2" t="s">
        <v>23</v>
      </c>
    </row>
    <row r="126" spans="1:9" x14ac:dyDescent="0.2">
      <c r="A126" s="11">
        <v>113</v>
      </c>
      <c r="B126" s="5" t="s">
        <v>149</v>
      </c>
      <c r="C126" s="11">
        <v>40199026282</v>
      </c>
      <c r="D126" s="5" t="s">
        <v>209</v>
      </c>
      <c r="E126" s="8">
        <v>3217.95</v>
      </c>
      <c r="F126" s="5" t="s">
        <v>10</v>
      </c>
      <c r="G126" s="2" t="s">
        <v>130</v>
      </c>
    </row>
    <row r="127" spans="1:9" x14ac:dyDescent="0.2">
      <c r="A127" s="11">
        <v>114</v>
      </c>
      <c r="B127" s="5" t="s">
        <v>706</v>
      </c>
      <c r="C127" s="11" t="s">
        <v>708</v>
      </c>
      <c r="D127" s="5" t="s">
        <v>707</v>
      </c>
      <c r="E127" s="8">
        <v>8970</v>
      </c>
      <c r="F127" s="5" t="s">
        <v>10</v>
      </c>
      <c r="G127" s="2" t="s">
        <v>23</v>
      </c>
    </row>
    <row r="128" spans="1:9" x14ac:dyDescent="0.2">
      <c r="A128" s="11">
        <v>115</v>
      </c>
      <c r="B128" s="23" t="s">
        <v>131</v>
      </c>
      <c r="C128" s="24">
        <v>70133616033</v>
      </c>
      <c r="D128" s="23" t="s">
        <v>134</v>
      </c>
      <c r="E128" s="8">
        <v>2165.34</v>
      </c>
      <c r="F128" s="5" t="s">
        <v>10</v>
      </c>
      <c r="G128" s="2" t="s">
        <v>292</v>
      </c>
    </row>
    <row r="129" spans="1:7" x14ac:dyDescent="0.2">
      <c r="A129" s="11">
        <v>116</v>
      </c>
      <c r="B129" s="5" t="s">
        <v>393</v>
      </c>
      <c r="C129" s="11">
        <v>90439696130</v>
      </c>
      <c r="D129" s="5" t="s">
        <v>1262</v>
      </c>
      <c r="E129" s="8">
        <f>628+132.45</f>
        <v>760.45</v>
      </c>
      <c r="F129" s="5" t="s">
        <v>10</v>
      </c>
      <c r="G129" s="2" t="s">
        <v>23</v>
      </c>
    </row>
    <row r="130" spans="1:7" x14ac:dyDescent="0.2">
      <c r="A130" s="11">
        <v>117</v>
      </c>
      <c r="B130" s="5" t="s">
        <v>1263</v>
      </c>
      <c r="C130" s="11">
        <v>99944170669</v>
      </c>
      <c r="D130" s="5" t="s">
        <v>1264</v>
      </c>
      <c r="E130" s="8">
        <v>70</v>
      </c>
      <c r="F130" s="5" t="s">
        <v>10</v>
      </c>
      <c r="G130" s="2" t="s">
        <v>505</v>
      </c>
    </row>
    <row r="131" spans="1:7" x14ac:dyDescent="0.2">
      <c r="A131" s="11">
        <v>118</v>
      </c>
      <c r="B131" s="5" t="s">
        <v>278</v>
      </c>
      <c r="C131" s="11">
        <v>51846314410</v>
      </c>
      <c r="D131" s="5" t="s">
        <v>279</v>
      </c>
      <c r="E131" s="8">
        <v>10753.88</v>
      </c>
      <c r="F131" s="5" t="s">
        <v>10</v>
      </c>
      <c r="G131" s="2" t="s">
        <v>23</v>
      </c>
    </row>
    <row r="132" spans="1:7" x14ac:dyDescent="0.2">
      <c r="A132" s="11">
        <v>119</v>
      </c>
      <c r="B132" s="5" t="s">
        <v>276</v>
      </c>
      <c r="C132" s="11">
        <v>64546066176</v>
      </c>
      <c r="D132" s="5" t="s">
        <v>277</v>
      </c>
      <c r="E132" s="8">
        <v>585</v>
      </c>
      <c r="F132" s="5" t="s">
        <v>10</v>
      </c>
      <c r="G132" s="2" t="s">
        <v>23</v>
      </c>
    </row>
    <row r="133" spans="1:7" x14ac:dyDescent="0.2">
      <c r="A133" s="11">
        <v>120</v>
      </c>
      <c r="B133" s="19" t="s">
        <v>1028</v>
      </c>
      <c r="C133" s="36" t="s">
        <v>1029</v>
      </c>
      <c r="D133" s="19" t="s">
        <v>1265</v>
      </c>
      <c r="E133" s="15">
        <v>5760</v>
      </c>
      <c r="F133" s="19" t="s">
        <v>10</v>
      </c>
      <c r="G133" s="28" t="s">
        <v>23</v>
      </c>
    </row>
    <row r="134" spans="1:7" x14ac:dyDescent="0.2">
      <c r="A134" s="11">
        <v>121</v>
      </c>
      <c r="B134" s="50" t="s">
        <v>293</v>
      </c>
      <c r="C134" s="45">
        <v>65952859647</v>
      </c>
      <c r="D134" s="44" t="s">
        <v>295</v>
      </c>
      <c r="E134" s="8">
        <v>18326.25</v>
      </c>
      <c r="F134" s="50" t="s">
        <v>10</v>
      </c>
      <c r="G134" s="2" t="s">
        <v>294</v>
      </c>
    </row>
    <row r="135" spans="1:7" x14ac:dyDescent="0.2">
      <c r="A135" s="11">
        <v>122</v>
      </c>
      <c r="B135" s="5" t="s">
        <v>245</v>
      </c>
      <c r="C135" s="11">
        <v>48491501393</v>
      </c>
      <c r="D135" s="5" t="s">
        <v>246</v>
      </c>
      <c r="E135" s="17">
        <v>13323.31</v>
      </c>
      <c r="F135" s="33" t="s">
        <v>10</v>
      </c>
      <c r="G135" s="34" t="s">
        <v>23</v>
      </c>
    </row>
    <row r="136" spans="1:7" x14ac:dyDescent="0.2">
      <c r="A136" s="11">
        <v>123</v>
      </c>
      <c r="B136" s="5" t="s">
        <v>284</v>
      </c>
      <c r="C136" s="11">
        <v>10235187780</v>
      </c>
      <c r="D136" s="5" t="s">
        <v>286</v>
      </c>
      <c r="E136" s="8">
        <v>649.55999999999995</v>
      </c>
      <c r="F136" s="5" t="s">
        <v>10</v>
      </c>
      <c r="G136" s="2" t="s">
        <v>285</v>
      </c>
    </row>
    <row r="137" spans="1:7" x14ac:dyDescent="0.2">
      <c r="A137" s="11">
        <v>124</v>
      </c>
      <c r="B137" s="5" t="s">
        <v>1167</v>
      </c>
      <c r="C137" s="11" t="s">
        <v>436</v>
      </c>
      <c r="D137" s="5" t="s">
        <v>435</v>
      </c>
      <c r="E137" s="8">
        <v>6665</v>
      </c>
      <c r="F137" s="5" t="s">
        <v>10</v>
      </c>
      <c r="G137" s="2" t="s">
        <v>23</v>
      </c>
    </row>
    <row r="138" spans="1:7" x14ac:dyDescent="0.2">
      <c r="A138" s="11">
        <v>125</v>
      </c>
      <c r="B138" s="5" t="s">
        <v>301</v>
      </c>
      <c r="C138" s="11">
        <v>60314119747</v>
      </c>
      <c r="D138" s="5" t="s">
        <v>298</v>
      </c>
      <c r="E138" s="8">
        <v>145458.95000000001</v>
      </c>
      <c r="F138" s="5" t="s">
        <v>10</v>
      </c>
      <c r="G138" s="2" t="s">
        <v>23</v>
      </c>
    </row>
    <row r="139" spans="1:7" x14ac:dyDescent="0.2">
      <c r="A139" s="11">
        <v>126</v>
      </c>
      <c r="B139" s="5" t="s">
        <v>83</v>
      </c>
      <c r="C139" s="11">
        <v>68419124305</v>
      </c>
      <c r="D139" s="5" t="s">
        <v>84</v>
      </c>
      <c r="E139" s="8">
        <v>212.4</v>
      </c>
      <c r="F139" s="5" t="s">
        <v>10</v>
      </c>
      <c r="G139" s="2" t="s">
        <v>82</v>
      </c>
    </row>
    <row r="140" spans="1:7" x14ac:dyDescent="0.2">
      <c r="A140" s="11">
        <v>127</v>
      </c>
      <c r="B140" s="5" t="s">
        <v>437</v>
      </c>
      <c r="C140" s="11">
        <v>76147579166</v>
      </c>
      <c r="D140" s="5" t="s">
        <v>438</v>
      </c>
      <c r="E140" s="8">
        <v>48.8</v>
      </c>
      <c r="F140" s="5" t="s">
        <v>10</v>
      </c>
      <c r="G140" s="2" t="s">
        <v>23</v>
      </c>
    </row>
    <row r="141" spans="1:7" x14ac:dyDescent="0.2">
      <c r="A141" s="11">
        <v>128</v>
      </c>
      <c r="B141" s="5" t="s">
        <v>308</v>
      </c>
      <c r="C141" s="12" t="s">
        <v>310</v>
      </c>
      <c r="D141" s="5" t="s">
        <v>309</v>
      </c>
      <c r="E141" s="8">
        <v>7468.75</v>
      </c>
      <c r="F141" s="5" t="s">
        <v>10</v>
      </c>
      <c r="G141" s="2" t="s">
        <v>23</v>
      </c>
    </row>
    <row r="142" spans="1:7" x14ac:dyDescent="0.2">
      <c r="A142" s="11">
        <v>129</v>
      </c>
      <c r="B142" s="5" t="s">
        <v>311</v>
      </c>
      <c r="C142" s="11">
        <v>95243482140</v>
      </c>
      <c r="D142" s="5" t="s">
        <v>312</v>
      </c>
      <c r="E142" s="8">
        <v>3776.12</v>
      </c>
      <c r="F142" s="5" t="s">
        <v>10</v>
      </c>
      <c r="G142" s="2" t="s">
        <v>23</v>
      </c>
    </row>
    <row r="143" spans="1:7" x14ac:dyDescent="0.2">
      <c r="A143" s="11">
        <v>130</v>
      </c>
      <c r="B143" s="5" t="s">
        <v>1266</v>
      </c>
      <c r="C143" s="11">
        <v>80805858278</v>
      </c>
      <c r="D143" s="5" t="s">
        <v>253</v>
      </c>
      <c r="E143" s="8">
        <v>21.14</v>
      </c>
      <c r="F143" s="5" t="s">
        <v>10</v>
      </c>
      <c r="G143" s="2" t="s">
        <v>64</v>
      </c>
    </row>
    <row r="144" spans="1:7" x14ac:dyDescent="0.2">
      <c r="A144" s="11">
        <v>131</v>
      </c>
      <c r="B144" s="5" t="s">
        <v>315</v>
      </c>
      <c r="C144" s="11">
        <v>98656691838</v>
      </c>
      <c r="D144" s="5" t="s">
        <v>316</v>
      </c>
      <c r="E144" s="8">
        <v>2975</v>
      </c>
      <c r="F144" s="5" t="s">
        <v>10</v>
      </c>
      <c r="G144" s="2" t="s">
        <v>23</v>
      </c>
    </row>
    <row r="145" spans="1:12" x14ac:dyDescent="0.2">
      <c r="A145" s="11">
        <v>132</v>
      </c>
      <c r="B145" s="5" t="s">
        <v>1267</v>
      </c>
      <c r="C145" s="12">
        <v>69022699714</v>
      </c>
      <c r="D145" s="5" t="s">
        <v>1268</v>
      </c>
      <c r="E145" s="8">
        <v>3804.5</v>
      </c>
      <c r="F145" s="5" t="s">
        <v>10</v>
      </c>
      <c r="G145" s="2" t="s">
        <v>23</v>
      </c>
    </row>
    <row r="146" spans="1:12" x14ac:dyDescent="0.2">
      <c r="A146" s="11">
        <v>133</v>
      </c>
      <c r="B146" s="5" t="s">
        <v>321</v>
      </c>
      <c r="C146" s="11">
        <v>66346732180</v>
      </c>
      <c r="D146" s="5" t="s">
        <v>322</v>
      </c>
      <c r="E146" s="8">
        <v>125</v>
      </c>
      <c r="F146" s="5" t="s">
        <v>10</v>
      </c>
      <c r="G146" s="2" t="s">
        <v>243</v>
      </c>
    </row>
    <row r="147" spans="1:12" x14ac:dyDescent="0.2">
      <c r="A147" s="11">
        <v>134</v>
      </c>
      <c r="B147" s="5" t="s">
        <v>323</v>
      </c>
      <c r="C147" s="11">
        <v>15907062900</v>
      </c>
      <c r="D147" s="5" t="s">
        <v>325</v>
      </c>
      <c r="E147" s="8">
        <v>3091.93</v>
      </c>
      <c r="F147" s="5" t="s">
        <v>10</v>
      </c>
      <c r="G147" s="2" t="s">
        <v>324</v>
      </c>
    </row>
    <row r="148" spans="1:12" x14ac:dyDescent="0.2">
      <c r="A148" s="11">
        <v>135</v>
      </c>
      <c r="B148" s="5" t="s">
        <v>1011</v>
      </c>
      <c r="C148" s="11">
        <v>57270798205</v>
      </c>
      <c r="D148" s="5" t="s">
        <v>1012</v>
      </c>
      <c r="E148" s="8">
        <v>7695.5</v>
      </c>
      <c r="F148" s="5" t="s">
        <v>10</v>
      </c>
      <c r="G148" s="2" t="s">
        <v>12</v>
      </c>
    </row>
    <row r="149" spans="1:12" x14ac:dyDescent="0.2">
      <c r="A149" s="11">
        <v>136</v>
      </c>
      <c r="B149" s="5" t="s">
        <v>1269</v>
      </c>
      <c r="C149" s="11">
        <v>18538517655</v>
      </c>
      <c r="D149" s="5" t="s">
        <v>1270</v>
      </c>
      <c r="E149" s="8">
        <v>770</v>
      </c>
      <c r="F149" s="5" t="s">
        <v>10</v>
      </c>
      <c r="G149" s="2" t="s">
        <v>23</v>
      </c>
    </row>
    <row r="150" spans="1:12" x14ac:dyDescent="0.2">
      <c r="A150" s="11">
        <v>137</v>
      </c>
      <c r="B150" s="5" t="s">
        <v>24</v>
      </c>
      <c r="C150" s="11">
        <v>55622004611</v>
      </c>
      <c r="D150" s="5" t="s">
        <v>32</v>
      </c>
      <c r="E150" s="8">
        <v>69.75</v>
      </c>
      <c r="F150" s="5" t="s">
        <v>10</v>
      </c>
      <c r="G150" s="2" t="s">
        <v>23</v>
      </c>
    </row>
    <row r="151" spans="1:12" x14ac:dyDescent="0.2">
      <c r="A151" s="11">
        <v>138</v>
      </c>
      <c r="B151" s="5" t="s">
        <v>88</v>
      </c>
      <c r="C151" s="11">
        <v>42889250808</v>
      </c>
      <c r="D151" s="5" t="s">
        <v>90</v>
      </c>
      <c r="E151" s="8">
        <v>157.08000000000001</v>
      </c>
      <c r="F151" s="5" t="s">
        <v>10</v>
      </c>
      <c r="G151" s="2" t="s">
        <v>86</v>
      </c>
    </row>
    <row r="152" spans="1:12" x14ac:dyDescent="0.2">
      <c r="A152" s="11">
        <v>139</v>
      </c>
      <c r="B152" s="5" t="s">
        <v>1271</v>
      </c>
      <c r="C152" s="11">
        <v>34323236274</v>
      </c>
      <c r="D152" s="5" t="s">
        <v>1272</v>
      </c>
      <c r="E152" s="8">
        <v>262.5</v>
      </c>
      <c r="F152" s="5" t="s">
        <v>10</v>
      </c>
      <c r="G152" s="2" t="s">
        <v>505</v>
      </c>
    </row>
    <row r="153" spans="1:12" x14ac:dyDescent="0.2">
      <c r="A153" s="11">
        <v>140</v>
      </c>
      <c r="B153" s="5" t="s">
        <v>182</v>
      </c>
      <c r="C153" s="12" t="s">
        <v>234</v>
      </c>
      <c r="D153" s="5" t="s">
        <v>233</v>
      </c>
      <c r="E153" s="8">
        <v>886.65</v>
      </c>
      <c r="F153" s="5" t="s">
        <v>10</v>
      </c>
      <c r="G153" s="2" t="s">
        <v>23</v>
      </c>
    </row>
    <row r="154" spans="1:12" x14ac:dyDescent="0.2">
      <c r="A154" s="11">
        <v>141</v>
      </c>
      <c r="B154" s="5" t="s">
        <v>341</v>
      </c>
      <c r="C154" s="11">
        <v>78969071801</v>
      </c>
      <c r="D154" s="5" t="s">
        <v>342</v>
      </c>
      <c r="E154" s="8">
        <v>2804.6</v>
      </c>
      <c r="F154" s="5" t="s">
        <v>10</v>
      </c>
      <c r="G154" s="2" t="s">
        <v>23</v>
      </c>
      <c r="J154" s="13"/>
    </row>
    <row r="155" spans="1:12" x14ac:dyDescent="0.2">
      <c r="A155" s="11">
        <v>142</v>
      </c>
      <c r="B155" s="5" t="s">
        <v>690</v>
      </c>
      <c r="C155" s="12">
        <v>56717147376</v>
      </c>
      <c r="D155" s="5" t="s">
        <v>547</v>
      </c>
      <c r="E155" s="8">
        <v>2260.5100000000002</v>
      </c>
      <c r="F155" s="5" t="s">
        <v>10</v>
      </c>
      <c r="G155" s="2" t="s">
        <v>23</v>
      </c>
    </row>
    <row r="156" spans="1:12" x14ac:dyDescent="0.2">
      <c r="A156" s="11">
        <v>143</v>
      </c>
      <c r="B156" s="5" t="s">
        <v>347</v>
      </c>
      <c r="C156" s="11">
        <v>51892779522</v>
      </c>
      <c r="D156" s="5" t="s">
        <v>348</v>
      </c>
      <c r="E156" s="8">
        <v>3125</v>
      </c>
      <c r="F156" s="5" t="s">
        <v>10</v>
      </c>
      <c r="G156" s="2" t="s">
        <v>23</v>
      </c>
      <c r="L156" s="21"/>
    </row>
    <row r="157" spans="1:12" x14ac:dyDescent="0.2">
      <c r="A157" s="11">
        <v>144</v>
      </c>
      <c r="B157" s="5" t="s">
        <v>432</v>
      </c>
      <c r="C157" s="11">
        <v>48633701387</v>
      </c>
      <c r="D157" s="5" t="s">
        <v>433</v>
      </c>
      <c r="E157" s="8">
        <v>233.92</v>
      </c>
      <c r="F157" s="5" t="s">
        <v>10</v>
      </c>
      <c r="G157" s="2" t="s">
        <v>23</v>
      </c>
    </row>
    <row r="158" spans="1:12" x14ac:dyDescent="0.2">
      <c r="A158" s="11">
        <v>145</v>
      </c>
      <c r="B158" s="5" t="s">
        <v>1273</v>
      </c>
      <c r="C158" s="11">
        <v>38453826849</v>
      </c>
      <c r="D158" s="5" t="s">
        <v>1274</v>
      </c>
      <c r="E158" s="8">
        <v>3250</v>
      </c>
      <c r="F158" s="5" t="s">
        <v>10</v>
      </c>
      <c r="G158" s="2" t="s">
        <v>23</v>
      </c>
    </row>
    <row r="159" spans="1:12" x14ac:dyDescent="0.2">
      <c r="A159" s="11">
        <v>146</v>
      </c>
      <c r="B159" s="5" t="s">
        <v>374</v>
      </c>
      <c r="C159" s="11">
        <v>48249084626</v>
      </c>
      <c r="D159" s="5" t="s">
        <v>375</v>
      </c>
      <c r="E159" s="8">
        <v>2453.9499999999998</v>
      </c>
      <c r="F159" s="5" t="s">
        <v>10</v>
      </c>
      <c r="G159" s="2" t="s">
        <v>23</v>
      </c>
    </row>
    <row r="160" spans="1:12" x14ac:dyDescent="0.2">
      <c r="A160" s="11">
        <v>147</v>
      </c>
      <c r="B160" s="5" t="s">
        <v>376</v>
      </c>
      <c r="C160" s="11">
        <v>26901839603</v>
      </c>
      <c r="D160" s="5" t="s">
        <v>377</v>
      </c>
      <c r="E160" s="8">
        <v>947.81</v>
      </c>
      <c r="F160" s="5" t="s">
        <v>10</v>
      </c>
      <c r="G160" s="2" t="s">
        <v>23</v>
      </c>
    </row>
    <row r="161" spans="1:7" x14ac:dyDescent="0.2">
      <c r="A161" s="11">
        <v>148</v>
      </c>
      <c r="B161" s="5" t="s">
        <v>372</v>
      </c>
      <c r="C161" s="11">
        <v>64021574271</v>
      </c>
      <c r="D161" s="5" t="s">
        <v>373</v>
      </c>
      <c r="E161" s="8">
        <v>241.56</v>
      </c>
      <c r="F161" s="5" t="s">
        <v>10</v>
      </c>
      <c r="G161" s="2" t="s">
        <v>23</v>
      </c>
    </row>
    <row r="162" spans="1:7" x14ac:dyDescent="0.2">
      <c r="A162" s="11">
        <v>149</v>
      </c>
      <c r="B162" s="5" t="s">
        <v>1275</v>
      </c>
      <c r="C162" s="12">
        <v>54948902275</v>
      </c>
      <c r="D162" s="5" t="s">
        <v>212</v>
      </c>
      <c r="E162" s="8">
        <v>2666.64</v>
      </c>
      <c r="F162" s="5" t="s">
        <v>10</v>
      </c>
      <c r="G162" s="2" t="s">
        <v>449</v>
      </c>
    </row>
    <row r="163" spans="1:7" x14ac:dyDescent="0.2">
      <c r="A163" s="11">
        <v>150</v>
      </c>
      <c r="B163" s="5" t="s">
        <v>1125</v>
      </c>
      <c r="C163" s="11">
        <v>74056056752</v>
      </c>
      <c r="D163" s="5" t="s">
        <v>776</v>
      </c>
      <c r="E163" s="8">
        <v>87.94</v>
      </c>
      <c r="F163" s="5" t="s">
        <v>10</v>
      </c>
      <c r="G163" s="2" t="s">
        <v>23</v>
      </c>
    </row>
    <row r="164" spans="1:7" x14ac:dyDescent="0.2">
      <c r="A164" s="11">
        <v>151</v>
      </c>
      <c r="B164" s="5" t="s">
        <v>386</v>
      </c>
      <c r="C164" s="11">
        <v>60365429880</v>
      </c>
      <c r="D164" s="5" t="s">
        <v>387</v>
      </c>
      <c r="E164" s="8">
        <v>1358.32</v>
      </c>
      <c r="F164" s="5" t="s">
        <v>10</v>
      </c>
      <c r="G164" s="2" t="s">
        <v>23</v>
      </c>
    </row>
    <row r="165" spans="1:7" x14ac:dyDescent="0.2">
      <c r="A165" s="11">
        <v>152</v>
      </c>
      <c r="B165" s="5" t="s">
        <v>391</v>
      </c>
      <c r="C165" s="11">
        <v>37879152548</v>
      </c>
      <c r="D165" s="5" t="s">
        <v>392</v>
      </c>
      <c r="E165" s="8">
        <v>1134.9100000000001</v>
      </c>
      <c r="F165" s="5" t="s">
        <v>10</v>
      </c>
      <c r="G165" s="2" t="s">
        <v>23</v>
      </c>
    </row>
    <row r="166" spans="1:7" x14ac:dyDescent="0.2">
      <c r="A166" s="11">
        <v>153</v>
      </c>
      <c r="B166" s="5" t="s">
        <v>459</v>
      </c>
      <c r="C166" s="11">
        <v>64008199572</v>
      </c>
      <c r="D166" s="5" t="s">
        <v>460</v>
      </c>
      <c r="E166" s="8">
        <v>816.38</v>
      </c>
      <c r="F166" s="5" t="s">
        <v>10</v>
      </c>
      <c r="G166" s="2" t="s">
        <v>23</v>
      </c>
    </row>
    <row r="167" spans="1:7" x14ac:dyDescent="0.2">
      <c r="A167" s="11">
        <v>154</v>
      </c>
      <c r="B167" s="5" t="s">
        <v>395</v>
      </c>
      <c r="C167" s="11">
        <v>39048902955</v>
      </c>
      <c r="D167" s="5" t="s">
        <v>396</v>
      </c>
      <c r="E167" s="8">
        <v>636.02</v>
      </c>
      <c r="F167" s="5" t="s">
        <v>10</v>
      </c>
      <c r="G167" s="2" t="s">
        <v>64</v>
      </c>
    </row>
    <row r="168" spans="1:7" x14ac:dyDescent="0.2">
      <c r="A168" s="11">
        <v>155</v>
      </c>
      <c r="B168" s="5" t="s">
        <v>397</v>
      </c>
      <c r="C168" s="11">
        <v>85375838060</v>
      </c>
      <c r="D168" s="5" t="s">
        <v>398</v>
      </c>
      <c r="E168" s="8">
        <v>356.88</v>
      </c>
      <c r="F168" s="5" t="s">
        <v>10</v>
      </c>
      <c r="G168" s="2" t="s">
        <v>64</v>
      </c>
    </row>
    <row r="169" spans="1:7" x14ac:dyDescent="0.2">
      <c r="A169" s="11">
        <v>156</v>
      </c>
      <c r="B169" s="5" t="s">
        <v>585</v>
      </c>
      <c r="C169" s="11">
        <v>25706416813</v>
      </c>
      <c r="D169" s="5" t="s">
        <v>761</v>
      </c>
      <c r="E169" s="8">
        <v>1694.88</v>
      </c>
      <c r="F169" s="5" t="s">
        <v>10</v>
      </c>
      <c r="G169" s="2" t="s">
        <v>23</v>
      </c>
    </row>
    <row r="170" spans="1:7" x14ac:dyDescent="0.2">
      <c r="A170" s="11">
        <v>157</v>
      </c>
      <c r="B170" s="5" t="s">
        <v>401</v>
      </c>
      <c r="C170" s="11">
        <v>55614719992</v>
      </c>
      <c r="D170" s="5" t="s">
        <v>402</v>
      </c>
      <c r="E170" s="8">
        <v>1562.24</v>
      </c>
      <c r="F170" s="5" t="s">
        <v>10</v>
      </c>
      <c r="G170" s="2" t="s">
        <v>23</v>
      </c>
    </row>
    <row r="171" spans="1:7" x14ac:dyDescent="0.2">
      <c r="A171" s="11">
        <v>158</v>
      </c>
      <c r="B171" s="5" t="s">
        <v>403</v>
      </c>
      <c r="C171" s="11">
        <v>95325472047</v>
      </c>
      <c r="D171" s="5" t="s">
        <v>404</v>
      </c>
      <c r="E171" s="8">
        <v>644.13</v>
      </c>
      <c r="F171" s="5" t="s">
        <v>10</v>
      </c>
      <c r="G171" s="2" t="s">
        <v>23</v>
      </c>
    </row>
    <row r="172" spans="1:7" x14ac:dyDescent="0.2">
      <c r="A172" s="11">
        <v>159</v>
      </c>
      <c r="B172" s="5" t="s">
        <v>1276</v>
      </c>
      <c r="C172" s="11" t="s">
        <v>17</v>
      </c>
      <c r="D172" s="5" t="s">
        <v>17</v>
      </c>
      <c r="E172" s="8">
        <v>148.52000000000001</v>
      </c>
      <c r="F172" s="5" t="s">
        <v>10</v>
      </c>
      <c r="G172" s="2" t="s">
        <v>99</v>
      </c>
    </row>
    <row r="173" spans="1:7" x14ac:dyDescent="0.2">
      <c r="A173" s="11">
        <v>160</v>
      </c>
      <c r="B173" s="5" t="s">
        <v>355</v>
      </c>
      <c r="C173" s="11">
        <v>25577810707</v>
      </c>
      <c r="D173" s="5" t="s">
        <v>356</v>
      </c>
      <c r="E173" s="8">
        <v>751.82</v>
      </c>
      <c r="F173" s="5" t="s">
        <v>10</v>
      </c>
      <c r="G173" s="2" t="s">
        <v>23</v>
      </c>
    </row>
    <row r="174" spans="1:7" x14ac:dyDescent="0.2">
      <c r="A174" s="11">
        <v>161</v>
      </c>
      <c r="B174" s="5" t="s">
        <v>411</v>
      </c>
      <c r="C174" s="11">
        <v>110752628</v>
      </c>
      <c r="D174" s="5" t="s">
        <v>414</v>
      </c>
      <c r="E174" s="8">
        <v>1058.27</v>
      </c>
      <c r="F174" s="5" t="s">
        <v>10</v>
      </c>
      <c r="G174" s="2" t="s">
        <v>23</v>
      </c>
    </row>
    <row r="175" spans="1:7" x14ac:dyDescent="0.2">
      <c r="A175" s="11">
        <v>162</v>
      </c>
      <c r="B175" s="5" t="s">
        <v>412</v>
      </c>
      <c r="C175" s="11">
        <v>85611744662</v>
      </c>
      <c r="D175" s="5" t="s">
        <v>413</v>
      </c>
      <c r="E175" s="8">
        <v>506.04</v>
      </c>
      <c r="F175" s="5" t="s">
        <v>10</v>
      </c>
      <c r="G175" s="2" t="s">
        <v>23</v>
      </c>
    </row>
    <row r="176" spans="1:7" x14ac:dyDescent="0.2">
      <c r="A176" s="11">
        <v>163</v>
      </c>
      <c r="B176" s="5" t="s">
        <v>517</v>
      </c>
      <c r="C176" s="11">
        <v>79378753915</v>
      </c>
      <c r="D176" s="5" t="s">
        <v>518</v>
      </c>
      <c r="E176" s="8">
        <v>828.56</v>
      </c>
      <c r="F176" s="5" t="s">
        <v>10</v>
      </c>
      <c r="G176" s="2" t="s">
        <v>23</v>
      </c>
    </row>
    <row r="177" spans="1:7" x14ac:dyDescent="0.2">
      <c r="A177" s="11">
        <v>164</v>
      </c>
      <c r="B177" s="5" t="s">
        <v>267</v>
      </c>
      <c r="C177" s="12" t="s">
        <v>269</v>
      </c>
      <c r="D177" s="5" t="s">
        <v>268</v>
      </c>
      <c r="E177" s="8">
        <v>3562.5</v>
      </c>
      <c r="F177" s="5" t="s">
        <v>10</v>
      </c>
      <c r="G177" s="2" t="s">
        <v>23</v>
      </c>
    </row>
    <row r="178" spans="1:7" x14ac:dyDescent="0.2">
      <c r="A178" s="11">
        <v>165</v>
      </c>
      <c r="B178" s="5" t="s">
        <v>428</v>
      </c>
      <c r="C178" s="11">
        <v>53785632625</v>
      </c>
      <c r="D178" s="5" t="s">
        <v>429</v>
      </c>
      <c r="E178" s="8">
        <v>3107.42</v>
      </c>
      <c r="F178" s="5" t="s">
        <v>10</v>
      </c>
      <c r="G178" s="2" t="s">
        <v>23</v>
      </c>
    </row>
    <row r="179" spans="1:7" x14ac:dyDescent="0.2">
      <c r="A179" s="11">
        <v>166</v>
      </c>
      <c r="B179" s="5" t="s">
        <v>665</v>
      </c>
      <c r="C179" s="11" t="s">
        <v>667</v>
      </c>
      <c r="D179" s="5" t="s">
        <v>666</v>
      </c>
      <c r="E179" s="8">
        <v>110.56</v>
      </c>
      <c r="F179" s="5" t="s">
        <v>10</v>
      </c>
      <c r="G179" s="2" t="s">
        <v>23</v>
      </c>
    </row>
    <row r="180" spans="1:7" x14ac:dyDescent="0.2">
      <c r="A180" s="11">
        <v>167</v>
      </c>
      <c r="B180" s="5" t="s">
        <v>1192</v>
      </c>
      <c r="C180" s="11">
        <v>14273924910</v>
      </c>
      <c r="D180" s="5" t="s">
        <v>228</v>
      </c>
      <c r="E180" s="8">
        <v>483.75</v>
      </c>
      <c r="F180" s="5" t="s">
        <v>10</v>
      </c>
      <c r="G180" s="2" t="s">
        <v>176</v>
      </c>
    </row>
    <row r="181" spans="1:7" x14ac:dyDescent="0.2">
      <c r="A181" s="11">
        <v>168</v>
      </c>
      <c r="B181" s="5" t="s">
        <v>407</v>
      </c>
      <c r="C181" s="11">
        <v>89027343720</v>
      </c>
      <c r="D181" s="5" t="s">
        <v>408</v>
      </c>
      <c r="E181" s="8">
        <v>691.5</v>
      </c>
      <c r="F181" s="5" t="s">
        <v>10</v>
      </c>
      <c r="G181" s="2" t="s">
        <v>23</v>
      </c>
    </row>
    <row r="182" spans="1:7" x14ac:dyDescent="0.2">
      <c r="A182" s="11">
        <v>169</v>
      </c>
      <c r="B182" s="19" t="s">
        <v>844</v>
      </c>
      <c r="C182" s="36">
        <v>99940897955</v>
      </c>
      <c r="D182" s="19" t="s">
        <v>845</v>
      </c>
      <c r="E182" s="8">
        <v>828</v>
      </c>
      <c r="F182" s="5" t="s">
        <v>10</v>
      </c>
      <c r="G182" s="2" t="s">
        <v>23</v>
      </c>
    </row>
    <row r="183" spans="1:7" x14ac:dyDescent="0.2">
      <c r="A183" s="11">
        <v>170</v>
      </c>
      <c r="B183" s="5" t="s">
        <v>439</v>
      </c>
      <c r="C183" s="11">
        <v>48841983787</v>
      </c>
      <c r="D183" s="5" t="s">
        <v>440</v>
      </c>
      <c r="E183" s="8">
        <v>2858.75</v>
      </c>
      <c r="F183" s="5" t="s">
        <v>10</v>
      </c>
      <c r="G183" s="2" t="s">
        <v>23</v>
      </c>
    </row>
    <row r="184" spans="1:7" x14ac:dyDescent="0.2">
      <c r="A184" s="11">
        <v>171</v>
      </c>
      <c r="B184" s="5" t="s">
        <v>661</v>
      </c>
      <c r="C184" s="11">
        <v>28370392421</v>
      </c>
      <c r="D184" s="5" t="s">
        <v>660</v>
      </c>
      <c r="E184" s="8">
        <v>172.3</v>
      </c>
      <c r="F184" s="5" t="s">
        <v>10</v>
      </c>
      <c r="G184" s="2" t="s">
        <v>662</v>
      </c>
    </row>
    <row r="185" spans="1:7" x14ac:dyDescent="0.2">
      <c r="A185" s="11">
        <v>172</v>
      </c>
      <c r="B185" s="5" t="s">
        <v>573</v>
      </c>
      <c r="C185" s="11">
        <v>56862872842</v>
      </c>
      <c r="D185" s="5" t="s">
        <v>594</v>
      </c>
      <c r="E185" s="8">
        <v>118.75</v>
      </c>
      <c r="F185" s="5" t="s">
        <v>10</v>
      </c>
      <c r="G185" s="2" t="s">
        <v>23</v>
      </c>
    </row>
    <row r="186" spans="1:7" x14ac:dyDescent="0.2">
      <c r="A186" s="11">
        <v>173</v>
      </c>
      <c r="B186" s="5" t="s">
        <v>135</v>
      </c>
      <c r="C186" s="11">
        <v>38812451417</v>
      </c>
      <c r="D186" s="5" t="s">
        <v>198</v>
      </c>
      <c r="E186" s="8">
        <v>95.79</v>
      </c>
      <c r="F186" s="5" t="s">
        <v>10</v>
      </c>
      <c r="G186" s="2" t="s">
        <v>112</v>
      </c>
    </row>
    <row r="187" spans="1:7" x14ac:dyDescent="0.2">
      <c r="A187" s="11">
        <v>174</v>
      </c>
      <c r="B187" s="5" t="s">
        <v>137</v>
      </c>
      <c r="C187" s="12" t="s">
        <v>200</v>
      </c>
      <c r="D187" s="5" t="s">
        <v>201</v>
      </c>
      <c r="E187" s="8">
        <v>206.43</v>
      </c>
      <c r="F187" s="5" t="s">
        <v>10</v>
      </c>
      <c r="G187" s="2" t="s">
        <v>112</v>
      </c>
    </row>
    <row r="188" spans="1:7" x14ac:dyDescent="0.2">
      <c r="A188" s="11">
        <v>175</v>
      </c>
      <c r="B188" s="5" t="s">
        <v>420</v>
      </c>
      <c r="C188" s="11">
        <v>57495737984</v>
      </c>
      <c r="D188" s="5" t="s">
        <v>421</v>
      </c>
      <c r="E188" s="8">
        <v>210.38</v>
      </c>
      <c r="F188" s="5" t="s">
        <v>10</v>
      </c>
      <c r="G188" s="2" t="s">
        <v>287</v>
      </c>
    </row>
    <row r="189" spans="1:7" x14ac:dyDescent="0.2">
      <c r="A189" s="11">
        <v>176</v>
      </c>
      <c r="B189" s="5" t="s">
        <v>473</v>
      </c>
      <c r="C189" s="11">
        <v>92839607312</v>
      </c>
      <c r="D189" s="5" t="s">
        <v>474</v>
      </c>
      <c r="E189" s="8">
        <v>1243.2</v>
      </c>
      <c r="F189" s="5" t="s">
        <v>10</v>
      </c>
      <c r="G189" s="2" t="s">
        <v>23</v>
      </c>
    </row>
    <row r="190" spans="1:7" x14ac:dyDescent="0.2">
      <c r="A190" s="11">
        <v>177</v>
      </c>
      <c r="B190" s="5" t="s">
        <v>335</v>
      </c>
      <c r="C190" s="11">
        <v>33302328387</v>
      </c>
      <c r="D190" s="5" t="s">
        <v>336</v>
      </c>
      <c r="E190" s="8">
        <v>10000</v>
      </c>
      <c r="F190" s="5" t="s">
        <v>10</v>
      </c>
      <c r="G190" s="2" t="s">
        <v>260</v>
      </c>
    </row>
    <row r="191" spans="1:7" x14ac:dyDescent="0.2">
      <c r="A191" s="11">
        <v>178</v>
      </c>
      <c r="B191" s="5" t="s">
        <v>1277</v>
      </c>
      <c r="C191" s="11">
        <v>92712381028</v>
      </c>
      <c r="D191" s="5" t="s">
        <v>1278</v>
      </c>
      <c r="E191" s="8">
        <v>75.31</v>
      </c>
      <c r="F191" s="5" t="s">
        <v>10</v>
      </c>
      <c r="G191" s="2" t="s">
        <v>23</v>
      </c>
    </row>
    <row r="192" spans="1:7" x14ac:dyDescent="0.2">
      <c r="A192" s="11">
        <v>179</v>
      </c>
      <c r="B192" s="5" t="s">
        <v>441</v>
      </c>
      <c r="C192" s="11">
        <v>12443607100</v>
      </c>
      <c r="D192" s="5" t="s">
        <v>442</v>
      </c>
      <c r="E192" s="8">
        <v>2778.75</v>
      </c>
      <c r="F192" s="5" t="s">
        <v>10</v>
      </c>
      <c r="G192" s="2" t="s">
        <v>23</v>
      </c>
    </row>
    <row r="193" spans="1:7" x14ac:dyDescent="0.2">
      <c r="A193" s="11">
        <v>180</v>
      </c>
      <c r="B193" s="5" t="s">
        <v>1279</v>
      </c>
      <c r="C193" s="11">
        <v>35882567377</v>
      </c>
      <c r="D193" s="5" t="s">
        <v>1280</v>
      </c>
      <c r="E193" s="8">
        <v>2360.63</v>
      </c>
      <c r="F193" s="5" t="s">
        <v>10</v>
      </c>
      <c r="G193" s="2" t="s">
        <v>23</v>
      </c>
    </row>
    <row r="194" spans="1:7" x14ac:dyDescent="0.2">
      <c r="A194" s="11">
        <v>181</v>
      </c>
      <c r="B194" s="5" t="s">
        <v>478</v>
      </c>
      <c r="C194" s="11">
        <v>25712329343</v>
      </c>
      <c r="D194" s="5" t="s">
        <v>479</v>
      </c>
      <c r="E194" s="8">
        <v>400</v>
      </c>
      <c r="F194" s="5" t="s">
        <v>10</v>
      </c>
      <c r="G194" s="2" t="s">
        <v>23</v>
      </c>
    </row>
    <row r="195" spans="1:7" x14ac:dyDescent="0.2">
      <c r="A195" s="11">
        <v>182</v>
      </c>
      <c r="B195" s="5" t="s">
        <v>1281</v>
      </c>
      <c r="C195" s="12" t="s">
        <v>1282</v>
      </c>
      <c r="D195" s="5" t="s">
        <v>1283</v>
      </c>
      <c r="E195" s="8">
        <v>1069.26</v>
      </c>
      <c r="F195" s="5" t="s">
        <v>10</v>
      </c>
      <c r="G195" s="2" t="s">
        <v>23</v>
      </c>
    </row>
    <row r="196" spans="1:7" x14ac:dyDescent="0.2">
      <c r="A196" s="11">
        <v>183</v>
      </c>
      <c r="B196" s="5" t="s">
        <v>680</v>
      </c>
      <c r="C196" s="11">
        <v>82510351433</v>
      </c>
      <c r="D196" s="5" t="s">
        <v>681</v>
      </c>
      <c r="E196" s="8">
        <v>19.53</v>
      </c>
      <c r="F196" s="5" t="s">
        <v>10</v>
      </c>
      <c r="G196" s="2" t="s">
        <v>23</v>
      </c>
    </row>
    <row r="197" spans="1:7" x14ac:dyDescent="0.2">
      <c r="A197" s="11">
        <v>184</v>
      </c>
      <c r="B197" s="5" t="s">
        <v>471</v>
      </c>
      <c r="C197" s="11">
        <v>54661026138</v>
      </c>
      <c r="D197" s="5" t="s">
        <v>472</v>
      </c>
      <c r="E197" s="8">
        <v>874.04</v>
      </c>
      <c r="F197" s="5" t="s">
        <v>10</v>
      </c>
      <c r="G197" s="2" t="s">
        <v>23</v>
      </c>
    </row>
    <row r="198" spans="1:7" x14ac:dyDescent="0.2">
      <c r="A198" s="11">
        <v>185</v>
      </c>
      <c r="B198" s="5" t="s">
        <v>1284</v>
      </c>
      <c r="C198" s="11" t="s">
        <v>1285</v>
      </c>
      <c r="D198" s="5" t="s">
        <v>1286</v>
      </c>
      <c r="E198" s="8">
        <v>2450</v>
      </c>
      <c r="F198" s="5" t="s">
        <v>10</v>
      </c>
      <c r="G198" s="2" t="s">
        <v>23</v>
      </c>
    </row>
    <row r="199" spans="1:7" x14ac:dyDescent="0.2">
      <c r="A199" s="11">
        <v>186</v>
      </c>
      <c r="B199" s="5" t="s">
        <v>1287</v>
      </c>
      <c r="C199" s="12">
        <v>33117935448</v>
      </c>
      <c r="D199" s="5" t="s">
        <v>1288</v>
      </c>
      <c r="E199" s="8">
        <v>216.09</v>
      </c>
      <c r="F199" s="5" t="s">
        <v>10</v>
      </c>
      <c r="G199" s="2" t="s">
        <v>147</v>
      </c>
    </row>
    <row r="200" spans="1:7" x14ac:dyDescent="0.2">
      <c r="A200" s="11">
        <v>187</v>
      </c>
      <c r="B200" s="5" t="s">
        <v>1031</v>
      </c>
      <c r="C200" s="11">
        <v>32034925094</v>
      </c>
      <c r="D200" s="5" t="s">
        <v>1032</v>
      </c>
      <c r="E200" s="8">
        <v>171.71</v>
      </c>
      <c r="F200" s="5" t="s">
        <v>10</v>
      </c>
      <c r="G200" s="2" t="s">
        <v>23</v>
      </c>
    </row>
    <row r="201" spans="1:7" x14ac:dyDescent="0.2">
      <c r="A201" s="11">
        <v>188</v>
      </c>
      <c r="B201" s="5" t="s">
        <v>357</v>
      </c>
      <c r="C201" s="11">
        <v>48805424054</v>
      </c>
      <c r="D201" s="5" t="s">
        <v>1289</v>
      </c>
      <c r="E201" s="8">
        <v>56.46</v>
      </c>
      <c r="F201" s="5" t="s">
        <v>10</v>
      </c>
      <c r="G201" s="2" t="s">
        <v>330</v>
      </c>
    </row>
    <row r="202" spans="1:7" x14ac:dyDescent="0.2">
      <c r="A202" s="11">
        <v>189</v>
      </c>
      <c r="B202" s="5" t="s">
        <v>1290</v>
      </c>
      <c r="C202" s="12">
        <v>12151785235</v>
      </c>
      <c r="D202" s="5" t="s">
        <v>1291</v>
      </c>
      <c r="E202" s="8">
        <v>37.92</v>
      </c>
      <c r="F202" s="5" t="s">
        <v>10</v>
      </c>
      <c r="G202" s="2" t="s">
        <v>330</v>
      </c>
    </row>
    <row r="203" spans="1:7" x14ac:dyDescent="0.2">
      <c r="A203" s="11">
        <v>190</v>
      </c>
      <c r="B203" s="5" t="s">
        <v>1292</v>
      </c>
      <c r="C203" s="12" t="s">
        <v>1293</v>
      </c>
      <c r="D203" s="5" t="s">
        <v>1294</v>
      </c>
      <c r="E203" s="8">
        <v>218.75</v>
      </c>
      <c r="F203" s="5" t="s">
        <v>10</v>
      </c>
      <c r="G203" s="2" t="s">
        <v>1295</v>
      </c>
    </row>
    <row r="204" spans="1:7" x14ac:dyDescent="0.2">
      <c r="A204" s="11">
        <v>191</v>
      </c>
      <c r="B204" s="19" t="s">
        <v>494</v>
      </c>
      <c r="C204" s="36">
        <v>54482179263</v>
      </c>
      <c r="D204" s="19" t="s">
        <v>495</v>
      </c>
      <c r="E204" s="15">
        <v>515.67999999999995</v>
      </c>
      <c r="F204" s="19" t="s">
        <v>10</v>
      </c>
      <c r="G204" s="28" t="s">
        <v>23</v>
      </c>
    </row>
    <row r="205" spans="1:7" x14ac:dyDescent="0.2">
      <c r="A205" s="11">
        <v>192</v>
      </c>
      <c r="B205" s="5" t="s">
        <v>970</v>
      </c>
      <c r="C205" s="12">
        <v>54655542852</v>
      </c>
      <c r="D205" s="5" t="s">
        <v>971</v>
      </c>
      <c r="E205" s="8">
        <v>237.5</v>
      </c>
      <c r="F205" s="5" t="s">
        <v>10</v>
      </c>
      <c r="G205" s="2" t="s">
        <v>243</v>
      </c>
    </row>
    <row r="206" spans="1:7" x14ac:dyDescent="0.2">
      <c r="A206" s="11">
        <v>193</v>
      </c>
      <c r="B206" s="5" t="s">
        <v>461</v>
      </c>
      <c r="C206" s="11">
        <v>83157399243</v>
      </c>
      <c r="D206" s="5" t="s">
        <v>462</v>
      </c>
      <c r="E206" s="8">
        <v>1406.25</v>
      </c>
      <c r="F206" s="5" t="s">
        <v>10</v>
      </c>
      <c r="G206" s="2" t="s">
        <v>23</v>
      </c>
    </row>
    <row r="207" spans="1:7" x14ac:dyDescent="0.2">
      <c r="A207" s="11">
        <v>194</v>
      </c>
      <c r="B207" s="5" t="s">
        <v>507</v>
      </c>
      <c r="C207" s="11">
        <v>94505281348</v>
      </c>
      <c r="D207" s="5" t="s">
        <v>509</v>
      </c>
      <c r="E207" s="8">
        <v>157.5</v>
      </c>
      <c r="F207" s="5" t="s">
        <v>10</v>
      </c>
      <c r="G207" s="2" t="s">
        <v>287</v>
      </c>
    </row>
    <row r="208" spans="1:7" x14ac:dyDescent="0.2">
      <c r="A208" s="11">
        <v>195</v>
      </c>
      <c r="B208" s="5" t="s">
        <v>270</v>
      </c>
      <c r="C208" s="11">
        <v>31174430130</v>
      </c>
      <c r="D208" s="5" t="s">
        <v>271</v>
      </c>
      <c r="E208" s="8">
        <v>331.97</v>
      </c>
      <c r="F208" s="5" t="s">
        <v>10</v>
      </c>
      <c r="G208" s="2" t="s">
        <v>112</v>
      </c>
    </row>
    <row r="209" spans="1:7" x14ac:dyDescent="0.2">
      <c r="A209" s="11">
        <v>196</v>
      </c>
      <c r="B209" s="5" t="s">
        <v>1296</v>
      </c>
      <c r="C209" s="12" t="s">
        <v>1297</v>
      </c>
      <c r="D209" s="5" t="s">
        <v>1298</v>
      </c>
      <c r="E209" s="8">
        <v>1572.9</v>
      </c>
      <c r="F209" s="5" t="s">
        <v>10</v>
      </c>
      <c r="G209" s="2" t="s">
        <v>23</v>
      </c>
    </row>
    <row r="210" spans="1:7" x14ac:dyDescent="0.2">
      <c r="A210" s="11">
        <v>197</v>
      </c>
      <c r="B210" s="5" t="s">
        <v>1299</v>
      </c>
      <c r="C210" s="11" t="s">
        <v>1300</v>
      </c>
      <c r="D210" s="5" t="s">
        <v>1301</v>
      </c>
      <c r="E210" s="8">
        <v>144</v>
      </c>
      <c r="F210" s="5" t="s">
        <v>10</v>
      </c>
      <c r="G210" s="2" t="s">
        <v>23</v>
      </c>
    </row>
    <row r="211" spans="1:7" x14ac:dyDescent="0.2">
      <c r="A211" s="11">
        <v>198</v>
      </c>
      <c r="B211" s="5" t="s">
        <v>555</v>
      </c>
      <c r="C211" s="11">
        <v>56733014701</v>
      </c>
      <c r="D211" s="5" t="s">
        <v>556</v>
      </c>
      <c r="E211" s="8">
        <v>2254</v>
      </c>
      <c r="F211" s="5" t="s">
        <v>10</v>
      </c>
      <c r="G211" s="2" t="s">
        <v>23</v>
      </c>
    </row>
    <row r="212" spans="1:7" x14ac:dyDescent="0.2">
      <c r="A212" s="11">
        <v>199</v>
      </c>
      <c r="B212" s="5" t="s">
        <v>486</v>
      </c>
      <c r="C212" s="11" t="s">
        <v>487</v>
      </c>
      <c r="D212" s="5" t="s">
        <v>488</v>
      </c>
      <c r="E212" s="8">
        <v>525.20000000000005</v>
      </c>
      <c r="F212" s="5" t="s">
        <v>10</v>
      </c>
      <c r="G212" s="2" t="s">
        <v>23</v>
      </c>
    </row>
    <row r="213" spans="1:7" x14ac:dyDescent="0.2">
      <c r="A213" s="11">
        <v>200</v>
      </c>
      <c r="B213" s="5" t="s">
        <v>136</v>
      </c>
      <c r="C213" s="11">
        <v>70467048139</v>
      </c>
      <c r="D213" s="5" t="s">
        <v>199</v>
      </c>
      <c r="E213" s="8">
        <v>28.96</v>
      </c>
      <c r="F213" s="5" t="s">
        <v>10</v>
      </c>
      <c r="G213" s="2" t="s">
        <v>112</v>
      </c>
    </row>
    <row r="214" spans="1:7" x14ac:dyDescent="0.2">
      <c r="A214" s="11">
        <v>201</v>
      </c>
      <c r="B214" s="5" t="s">
        <v>910</v>
      </c>
      <c r="C214" s="11">
        <v>10613092990</v>
      </c>
      <c r="D214" s="5" t="s">
        <v>911</v>
      </c>
      <c r="E214" s="8">
        <v>660.6</v>
      </c>
      <c r="F214" s="5" t="s">
        <v>10</v>
      </c>
      <c r="G214" s="2" t="s">
        <v>23</v>
      </c>
    </row>
    <row r="215" spans="1:7" x14ac:dyDescent="0.2">
      <c r="A215" s="11">
        <v>202</v>
      </c>
      <c r="B215" s="5" t="s">
        <v>1302</v>
      </c>
      <c r="C215" s="11">
        <v>25170721692</v>
      </c>
      <c r="D215" s="5" t="s">
        <v>1303</v>
      </c>
      <c r="E215" s="8">
        <v>86.22</v>
      </c>
      <c r="F215" s="5" t="s">
        <v>10</v>
      </c>
      <c r="G215" s="2" t="s">
        <v>23</v>
      </c>
    </row>
    <row r="216" spans="1:7" x14ac:dyDescent="0.2">
      <c r="A216" s="11">
        <v>203</v>
      </c>
      <c r="B216" s="5" t="s">
        <v>151</v>
      </c>
      <c r="C216" s="11">
        <v>59964152545</v>
      </c>
      <c r="D216" s="5" t="s">
        <v>211</v>
      </c>
      <c r="E216" s="8">
        <v>40</v>
      </c>
      <c r="F216" s="5" t="s">
        <v>10</v>
      </c>
      <c r="G216" s="2" t="s">
        <v>23</v>
      </c>
    </row>
    <row r="217" spans="1:7" x14ac:dyDescent="0.2">
      <c r="A217" s="11">
        <v>204</v>
      </c>
      <c r="B217" s="5" t="s">
        <v>183</v>
      </c>
      <c r="C217" s="11">
        <v>95449332614</v>
      </c>
      <c r="D217" s="5" t="s">
        <v>235</v>
      </c>
      <c r="E217" s="8">
        <v>72.5</v>
      </c>
      <c r="F217" s="5" t="s">
        <v>10</v>
      </c>
      <c r="G217" s="2" t="s">
        <v>23</v>
      </c>
    </row>
    <row r="218" spans="1:7" x14ac:dyDescent="0.2">
      <c r="A218" s="11">
        <v>205</v>
      </c>
      <c r="B218" s="5" t="s">
        <v>753</v>
      </c>
      <c r="C218" s="11">
        <v>93475459627</v>
      </c>
      <c r="D218" s="5" t="s">
        <v>754</v>
      </c>
      <c r="E218" s="8">
        <v>88.05</v>
      </c>
      <c r="F218" s="5" t="s">
        <v>10</v>
      </c>
      <c r="G218" s="2" t="s">
        <v>23</v>
      </c>
    </row>
    <row r="219" spans="1:7" x14ac:dyDescent="0.2">
      <c r="A219" s="11">
        <v>206</v>
      </c>
      <c r="B219" s="5" t="s">
        <v>1304</v>
      </c>
      <c r="C219" s="12" t="s">
        <v>1305</v>
      </c>
      <c r="D219" s="5" t="s">
        <v>1306</v>
      </c>
      <c r="E219" s="8">
        <v>109.38</v>
      </c>
      <c r="F219" s="5" t="s">
        <v>10</v>
      </c>
      <c r="G219" s="2" t="s">
        <v>287</v>
      </c>
    </row>
    <row r="220" spans="1:7" x14ac:dyDescent="0.2">
      <c r="A220" s="11">
        <v>207</v>
      </c>
      <c r="B220" s="5" t="s">
        <v>1307</v>
      </c>
      <c r="C220" s="12" t="s">
        <v>1308</v>
      </c>
      <c r="D220" s="5" t="s">
        <v>1309</v>
      </c>
      <c r="E220" s="8">
        <v>7125</v>
      </c>
      <c r="F220" s="5" t="s">
        <v>10</v>
      </c>
      <c r="G220" s="2" t="s">
        <v>505</v>
      </c>
    </row>
    <row r="221" spans="1:7" x14ac:dyDescent="0.2">
      <c r="A221" s="11">
        <v>208</v>
      </c>
      <c r="B221" s="5" t="s">
        <v>1310</v>
      </c>
      <c r="C221" s="12" t="s">
        <v>783</v>
      </c>
      <c r="D221" s="5" t="s">
        <v>1311</v>
      </c>
      <c r="E221" s="8">
        <v>1158.93</v>
      </c>
      <c r="F221" s="5" t="s">
        <v>10</v>
      </c>
      <c r="G221" s="2" t="s">
        <v>23</v>
      </c>
    </row>
    <row r="222" spans="1:7" x14ac:dyDescent="0.2">
      <c r="A222" s="11">
        <v>209</v>
      </c>
      <c r="B222" s="5" t="s">
        <v>1312</v>
      </c>
      <c r="C222" s="12">
        <v>51448445544</v>
      </c>
      <c r="D222" s="5" t="s">
        <v>1313</v>
      </c>
      <c r="E222" s="8">
        <v>62.5</v>
      </c>
      <c r="F222" s="5" t="s">
        <v>10</v>
      </c>
      <c r="G222" s="2" t="s">
        <v>55</v>
      </c>
    </row>
    <row r="223" spans="1:7" x14ac:dyDescent="0.2">
      <c r="A223" s="11">
        <v>210</v>
      </c>
      <c r="B223" s="5" t="s">
        <v>846</v>
      </c>
      <c r="C223" s="11">
        <v>51469557335</v>
      </c>
      <c r="D223" s="5" t="s">
        <v>847</v>
      </c>
      <c r="E223" s="8">
        <v>239.4</v>
      </c>
      <c r="F223" s="5" t="s">
        <v>10</v>
      </c>
      <c r="G223" s="2" t="s">
        <v>23</v>
      </c>
    </row>
    <row r="224" spans="1:7" x14ac:dyDescent="0.2">
      <c r="A224" s="11">
        <v>211</v>
      </c>
      <c r="B224" s="5" t="s">
        <v>139</v>
      </c>
      <c r="C224" s="11">
        <v>26211106548</v>
      </c>
      <c r="D224" s="5" t="s">
        <v>141</v>
      </c>
      <c r="E224" s="8">
        <v>131.77000000000001</v>
      </c>
      <c r="F224" s="5" t="s">
        <v>10</v>
      </c>
      <c r="G224" s="2" t="s">
        <v>112</v>
      </c>
    </row>
    <row r="225" spans="1:7" x14ac:dyDescent="0.2">
      <c r="A225" s="11">
        <v>212</v>
      </c>
      <c r="B225" s="5" t="s">
        <v>773</v>
      </c>
      <c r="C225" s="11">
        <v>56290033854</v>
      </c>
      <c r="D225" s="5" t="s">
        <v>774</v>
      </c>
      <c r="E225" s="8">
        <v>67.5</v>
      </c>
      <c r="F225" s="5" t="s">
        <v>10</v>
      </c>
      <c r="G225" s="2" t="s">
        <v>176</v>
      </c>
    </row>
    <row r="226" spans="1:7" x14ac:dyDescent="0.2">
      <c r="A226" s="11">
        <v>213</v>
      </c>
      <c r="B226" s="5" t="s">
        <v>899</v>
      </c>
      <c r="C226" s="11" t="s">
        <v>901</v>
      </c>
      <c r="D226" s="5" t="s">
        <v>900</v>
      </c>
      <c r="E226" s="8">
        <v>3340.5</v>
      </c>
      <c r="F226" s="5" t="s">
        <v>10</v>
      </c>
      <c r="G226" s="2" t="s">
        <v>23</v>
      </c>
    </row>
    <row r="227" spans="1:7" x14ac:dyDescent="0.2">
      <c r="A227" s="11">
        <v>214</v>
      </c>
      <c r="B227" s="5" t="s">
        <v>1083</v>
      </c>
      <c r="C227" s="11" t="s">
        <v>1084</v>
      </c>
      <c r="D227" s="5" t="s">
        <v>1085</v>
      </c>
      <c r="E227" s="8">
        <v>4995</v>
      </c>
      <c r="F227" s="5" t="s">
        <v>10</v>
      </c>
      <c r="G227" s="2" t="s">
        <v>23</v>
      </c>
    </row>
    <row r="228" spans="1:7" x14ac:dyDescent="0.2">
      <c r="A228" s="11">
        <v>215</v>
      </c>
      <c r="B228" s="5" t="s">
        <v>1314</v>
      </c>
      <c r="C228" s="11">
        <v>46490936145</v>
      </c>
      <c r="D228" s="5" t="s">
        <v>1315</v>
      </c>
      <c r="E228" s="8">
        <v>398.25</v>
      </c>
      <c r="F228" s="5" t="s">
        <v>10</v>
      </c>
      <c r="G228" s="2" t="s">
        <v>23</v>
      </c>
    </row>
    <row r="229" spans="1:7" x14ac:dyDescent="0.2">
      <c r="A229" s="11">
        <v>216</v>
      </c>
      <c r="B229" s="5" t="s">
        <v>1081</v>
      </c>
      <c r="C229" s="11">
        <v>72026633009</v>
      </c>
      <c r="D229" s="5" t="s">
        <v>1082</v>
      </c>
      <c r="E229" s="8">
        <v>630</v>
      </c>
      <c r="F229" s="5" t="s">
        <v>10</v>
      </c>
      <c r="G229" s="2" t="s">
        <v>23</v>
      </c>
    </row>
    <row r="230" spans="1:7" x14ac:dyDescent="0.2">
      <c r="A230" s="11">
        <v>217</v>
      </c>
      <c r="B230" s="5" t="s">
        <v>1316</v>
      </c>
      <c r="C230" s="11">
        <v>86648038250</v>
      </c>
      <c r="D230" s="5" t="s">
        <v>961</v>
      </c>
      <c r="E230" s="8">
        <v>81.25</v>
      </c>
      <c r="F230" s="5" t="s">
        <v>10</v>
      </c>
      <c r="G230" s="2" t="s">
        <v>118</v>
      </c>
    </row>
    <row r="231" spans="1:7" x14ac:dyDescent="0.2">
      <c r="A231" s="11">
        <v>218</v>
      </c>
      <c r="B231" s="5" t="s">
        <v>812</v>
      </c>
      <c r="C231" s="11">
        <v>93716144137</v>
      </c>
      <c r="D231" s="5" t="s">
        <v>813</v>
      </c>
      <c r="E231" s="8">
        <v>10619.16</v>
      </c>
      <c r="F231" s="5" t="s">
        <v>10</v>
      </c>
      <c r="G231" s="2" t="s">
        <v>23</v>
      </c>
    </row>
    <row r="232" spans="1:7" x14ac:dyDescent="0.2">
      <c r="A232" s="11">
        <v>219</v>
      </c>
      <c r="B232" s="5" t="s">
        <v>1317</v>
      </c>
      <c r="C232" s="11">
        <v>46662592772</v>
      </c>
      <c r="D232" s="5" t="s">
        <v>1318</v>
      </c>
      <c r="E232" s="8">
        <v>68.209999999999994</v>
      </c>
      <c r="F232" s="5" t="s">
        <v>10</v>
      </c>
      <c r="G232" s="2" t="s">
        <v>23</v>
      </c>
    </row>
    <row r="233" spans="1:7" x14ac:dyDescent="0.2">
      <c r="A233" s="11">
        <v>220</v>
      </c>
      <c r="B233" s="5" t="s">
        <v>1319</v>
      </c>
      <c r="C233" s="11">
        <v>15429488788</v>
      </c>
      <c r="D233" s="5" t="s">
        <v>126</v>
      </c>
      <c r="E233" s="8">
        <v>961</v>
      </c>
      <c r="F233" s="5" t="s">
        <v>10</v>
      </c>
      <c r="G233" s="2" t="s">
        <v>62</v>
      </c>
    </row>
    <row r="234" spans="1:7" x14ac:dyDescent="0.2">
      <c r="A234" s="11">
        <v>221</v>
      </c>
      <c r="B234" s="5" t="s">
        <v>463</v>
      </c>
      <c r="C234" s="11" t="s">
        <v>464</v>
      </c>
      <c r="D234" s="5" t="s">
        <v>876</v>
      </c>
      <c r="E234" s="8">
        <v>405.57</v>
      </c>
      <c r="F234" s="5" t="s">
        <v>10</v>
      </c>
      <c r="G234" s="2" t="s">
        <v>23</v>
      </c>
    </row>
    <row r="235" spans="1:7" x14ac:dyDescent="0.2">
      <c r="A235" s="11">
        <v>222</v>
      </c>
      <c r="B235" s="5" t="s">
        <v>1320</v>
      </c>
      <c r="C235" s="11" t="s">
        <v>1321</v>
      </c>
      <c r="D235" s="5" t="s">
        <v>1322</v>
      </c>
      <c r="E235" s="8">
        <v>1509</v>
      </c>
      <c r="F235" s="5" t="s">
        <v>10</v>
      </c>
      <c r="G235" s="2" t="s">
        <v>23</v>
      </c>
    </row>
    <row r="236" spans="1:7" x14ac:dyDescent="0.2">
      <c r="A236" s="11">
        <v>223</v>
      </c>
      <c r="B236" s="5" t="s">
        <v>1323</v>
      </c>
      <c r="C236" s="11" t="s">
        <v>1324</v>
      </c>
      <c r="D236" s="5" t="s">
        <v>1325</v>
      </c>
      <c r="E236" s="8">
        <v>342</v>
      </c>
      <c r="F236" s="5" t="s">
        <v>10</v>
      </c>
      <c r="G236" s="2" t="s">
        <v>23</v>
      </c>
    </row>
    <row r="237" spans="1:7" x14ac:dyDescent="0.2">
      <c r="A237" s="11">
        <v>224</v>
      </c>
      <c r="B237" s="5" t="s">
        <v>809</v>
      </c>
      <c r="C237" s="11" t="s">
        <v>811</v>
      </c>
      <c r="D237" s="5" t="s">
        <v>810</v>
      </c>
      <c r="E237" s="8">
        <v>456.4</v>
      </c>
      <c r="F237" s="5" t="s">
        <v>10</v>
      </c>
      <c r="G237" s="2" t="s">
        <v>23</v>
      </c>
    </row>
    <row r="238" spans="1:7" x14ac:dyDescent="0.2">
      <c r="A238" s="11">
        <v>225</v>
      </c>
      <c r="B238" s="5" t="s">
        <v>1326</v>
      </c>
      <c r="C238" s="11">
        <v>23950119865</v>
      </c>
      <c r="D238" s="5" t="s">
        <v>1327</v>
      </c>
      <c r="E238" s="8">
        <v>957.12</v>
      </c>
      <c r="F238" s="5" t="s">
        <v>10</v>
      </c>
      <c r="G238" s="2" t="s">
        <v>1328</v>
      </c>
    </row>
    <row r="239" spans="1:7" x14ac:dyDescent="0.2">
      <c r="A239" s="11">
        <v>226</v>
      </c>
      <c r="B239" s="5" t="s">
        <v>1033</v>
      </c>
      <c r="C239" s="11">
        <v>89811416156</v>
      </c>
      <c r="D239" s="5" t="s">
        <v>1034</v>
      </c>
      <c r="E239" s="8">
        <v>337.5</v>
      </c>
      <c r="F239" s="5" t="s">
        <v>10</v>
      </c>
      <c r="G239" s="2" t="s">
        <v>505</v>
      </c>
    </row>
    <row r="240" spans="1:7" x14ac:dyDescent="0.2">
      <c r="A240" s="11">
        <v>227</v>
      </c>
      <c r="B240" s="5" t="s">
        <v>1329</v>
      </c>
      <c r="C240" s="12" t="s">
        <v>1330</v>
      </c>
      <c r="D240" s="5" t="s">
        <v>1331</v>
      </c>
      <c r="E240" s="8">
        <v>275.66000000000003</v>
      </c>
      <c r="F240" s="5" t="s">
        <v>10</v>
      </c>
      <c r="G240" s="2" t="s">
        <v>23</v>
      </c>
    </row>
    <row r="241" spans="1:7" x14ac:dyDescent="0.2">
      <c r="A241" s="11">
        <v>228</v>
      </c>
      <c r="B241" s="5" t="s">
        <v>1332</v>
      </c>
      <c r="C241" s="12" t="s">
        <v>1333</v>
      </c>
      <c r="D241" s="5" t="s">
        <v>1334</v>
      </c>
      <c r="E241" s="8">
        <v>32.4</v>
      </c>
      <c r="F241" s="5" t="s">
        <v>10</v>
      </c>
      <c r="G241" s="2" t="s">
        <v>23</v>
      </c>
    </row>
    <row r="242" spans="1:7" x14ac:dyDescent="0.2">
      <c r="A242" s="11">
        <v>229</v>
      </c>
      <c r="B242" s="5" t="s">
        <v>1335</v>
      </c>
      <c r="C242" s="12" t="s">
        <v>750</v>
      </c>
      <c r="D242" s="5" t="s">
        <v>751</v>
      </c>
      <c r="E242" s="8">
        <v>37.92</v>
      </c>
      <c r="F242" s="5" t="s">
        <v>10</v>
      </c>
      <c r="G242" s="2" t="s">
        <v>330</v>
      </c>
    </row>
    <row r="243" spans="1:7" x14ac:dyDescent="0.2">
      <c r="A243" s="11">
        <v>230</v>
      </c>
      <c r="B243" s="5" t="s">
        <v>593</v>
      </c>
      <c r="C243" s="11">
        <v>41261796409</v>
      </c>
      <c r="D243" s="5" t="s">
        <v>592</v>
      </c>
      <c r="E243" s="8">
        <v>1372.5</v>
      </c>
      <c r="F243" s="5" t="s">
        <v>10</v>
      </c>
      <c r="G243" s="2" t="s">
        <v>23</v>
      </c>
    </row>
    <row r="244" spans="1:7" x14ac:dyDescent="0.2">
      <c r="A244" s="11">
        <v>231</v>
      </c>
      <c r="B244" s="5" t="s">
        <v>531</v>
      </c>
      <c r="C244" s="11">
        <v>70273797250</v>
      </c>
      <c r="D244" s="5" t="s">
        <v>532</v>
      </c>
      <c r="E244" s="8">
        <v>53.95</v>
      </c>
      <c r="F244" s="5" t="s">
        <v>10</v>
      </c>
      <c r="G244" s="2" t="s">
        <v>481</v>
      </c>
    </row>
    <row r="245" spans="1:7" x14ac:dyDescent="0.2">
      <c r="A245" s="11">
        <v>232</v>
      </c>
      <c r="B245" s="5" t="s">
        <v>819</v>
      </c>
      <c r="C245" s="11">
        <v>30568370357</v>
      </c>
      <c r="D245" s="5" t="s">
        <v>820</v>
      </c>
      <c r="E245" s="15">
        <v>75</v>
      </c>
      <c r="F245" s="19" t="s">
        <v>10</v>
      </c>
      <c r="G245" s="28" t="s">
        <v>287</v>
      </c>
    </row>
    <row r="246" spans="1:7" x14ac:dyDescent="0.2">
      <c r="A246" s="11">
        <v>233</v>
      </c>
      <c r="B246" s="5" t="s">
        <v>1117</v>
      </c>
      <c r="C246" s="11">
        <v>64634216475</v>
      </c>
      <c r="D246" s="5" t="s">
        <v>1118</v>
      </c>
      <c r="E246" s="8">
        <v>486.88</v>
      </c>
      <c r="F246" s="5" t="s">
        <v>10</v>
      </c>
      <c r="G246" s="2" t="s">
        <v>23</v>
      </c>
    </row>
    <row r="247" spans="1:7" ht="5.25" customHeight="1" x14ac:dyDescent="0.2">
      <c r="A247" s="11"/>
      <c r="B247" s="5"/>
      <c r="C247" s="11"/>
      <c r="D247" s="5"/>
      <c r="E247" s="8"/>
      <c r="F247" s="5"/>
      <c r="G247" s="2"/>
    </row>
    <row r="249" spans="1:7" x14ac:dyDescent="0.2">
      <c r="D249" s="53" t="s">
        <v>1244</v>
      </c>
      <c r="E249" s="54">
        <f>SUM(E11:E247)</f>
        <v>2182318.2599999998</v>
      </c>
    </row>
    <row r="258" spans="3:7" x14ac:dyDescent="0.2">
      <c r="D258" s="13"/>
    </row>
    <row r="259" spans="3:7" x14ac:dyDescent="0.2">
      <c r="C259" s="22"/>
    </row>
    <row r="260" spans="3:7" x14ac:dyDescent="0.2">
      <c r="D260" s="13"/>
      <c r="G260" s="13"/>
    </row>
  </sheetData>
  <sheetProtection algorithmName="SHA-512" hashValue="f3UjTZPsSTGxq4BCDQ+659UUNhCAAAGOVZ5+X1NrLyA9tqaPO6qOTPdB0W0K9kTFjZv+tq3E13c3ke/nI7m4FA==" saltValue="UeDOeauUFuH181inIodv+w==" spinCount="100000" sheet="1" objects="1" scenarios="1" selectLockedCells="1" autoFilter="0" selectUnlockedCells="1"/>
  <autoFilter ref="A10:G246" xr:uid="{6C5BA26A-D96B-46E5-8E31-ECE8F3438314}"/>
  <mergeCells count="18">
    <mergeCell ref="A36:A37"/>
    <mergeCell ref="B36:B37"/>
    <mergeCell ref="C36:C37"/>
    <mergeCell ref="D36:D37"/>
    <mergeCell ref="F36:F37"/>
    <mergeCell ref="A52:A53"/>
    <mergeCell ref="B52:B53"/>
    <mergeCell ref="C52:C53"/>
    <mergeCell ref="D52:D53"/>
    <mergeCell ref="F52:F53"/>
    <mergeCell ref="A6:B6"/>
    <mergeCell ref="A7:B7"/>
    <mergeCell ref="C8:F8"/>
    <mergeCell ref="A34:A35"/>
    <mergeCell ref="B34:B35"/>
    <mergeCell ref="C34:C35"/>
    <mergeCell ref="D34:D35"/>
    <mergeCell ref="F34:F3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92F88-EE22-42D7-BB34-C2327D88922D}">
  <sheetPr codeName="List7"/>
  <dimension ref="A5:L269"/>
  <sheetViews>
    <sheetView workbookViewId="0">
      <selection activeCell="G268" sqref="G268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74" t="s">
        <v>7</v>
      </c>
      <c r="B6" s="74"/>
    </row>
    <row r="7" spans="1:7" x14ac:dyDescent="0.2">
      <c r="A7" s="74" t="s">
        <v>8</v>
      </c>
      <c r="B7" s="74"/>
    </row>
    <row r="8" spans="1:7" x14ac:dyDescent="0.2">
      <c r="A8" s="25"/>
      <c r="B8" s="6"/>
      <c r="C8" s="75" t="s">
        <v>1336</v>
      </c>
      <c r="D8" s="75"/>
      <c r="E8" s="75"/>
      <c r="F8" s="75"/>
    </row>
    <row r="10" spans="1:7" x14ac:dyDescent="0.2">
      <c r="A10" s="3" t="s">
        <v>1</v>
      </c>
      <c r="B10" s="4" t="s">
        <v>0</v>
      </c>
      <c r="C10" s="3" t="s">
        <v>42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11</v>
      </c>
      <c r="C11" s="11">
        <v>23780250353</v>
      </c>
      <c r="D11" s="5" t="s">
        <v>27</v>
      </c>
      <c r="E11" s="8">
        <v>2520.39</v>
      </c>
      <c r="F11" s="5" t="s">
        <v>10</v>
      </c>
      <c r="G11" s="2" t="s">
        <v>12</v>
      </c>
    </row>
    <row r="12" spans="1:7" x14ac:dyDescent="0.2">
      <c r="A12" s="11">
        <v>2</v>
      </c>
      <c r="B12" s="5" t="s">
        <v>302</v>
      </c>
      <c r="C12" s="11" t="s">
        <v>303</v>
      </c>
      <c r="D12" s="5" t="s">
        <v>304</v>
      </c>
      <c r="E12" s="8">
        <f>4461.2+1033.04</f>
        <v>5494.24</v>
      </c>
      <c r="F12" s="5" t="s">
        <v>10</v>
      </c>
      <c r="G12" s="2" t="s">
        <v>23</v>
      </c>
    </row>
    <row r="13" spans="1:7" x14ac:dyDescent="0.2">
      <c r="A13" s="11">
        <v>3</v>
      </c>
      <c r="B13" s="5" t="s">
        <v>14</v>
      </c>
      <c r="C13" s="11">
        <v>87939104217</v>
      </c>
      <c r="D13" s="5" t="s">
        <v>15</v>
      </c>
      <c r="E13" s="8">
        <v>59.67</v>
      </c>
      <c r="F13" s="5" t="s">
        <v>10</v>
      </c>
      <c r="G13" s="2" t="s">
        <v>16</v>
      </c>
    </row>
    <row r="14" spans="1:7" x14ac:dyDescent="0.2">
      <c r="A14" s="11">
        <v>4</v>
      </c>
      <c r="B14" s="5" t="s">
        <v>17</v>
      </c>
      <c r="C14" s="11" t="s">
        <v>17</v>
      </c>
      <c r="D14" s="5" t="s">
        <v>17</v>
      </c>
      <c r="E14" s="8">
        <f>560+560+560+560+560</f>
        <v>2800</v>
      </c>
      <c r="F14" s="5" t="s">
        <v>10</v>
      </c>
      <c r="G14" s="2" t="s">
        <v>18</v>
      </c>
    </row>
    <row r="15" spans="1:7" x14ac:dyDescent="0.2">
      <c r="A15" s="11">
        <v>5</v>
      </c>
      <c r="B15" s="5" t="s">
        <v>17</v>
      </c>
      <c r="C15" s="11" t="s">
        <v>17</v>
      </c>
      <c r="D15" s="5" t="s">
        <v>17</v>
      </c>
      <c r="E15" s="8">
        <v>184997.24</v>
      </c>
      <c r="F15" s="5" t="s">
        <v>10</v>
      </c>
      <c r="G15" s="2" t="s">
        <v>1337</v>
      </c>
    </row>
    <row r="16" spans="1:7" ht="14.25" customHeight="1" x14ac:dyDescent="0.2">
      <c r="A16" s="11">
        <v>6</v>
      </c>
      <c r="B16" s="5" t="s">
        <v>19</v>
      </c>
      <c r="C16" s="12" t="s">
        <v>30</v>
      </c>
      <c r="D16" s="9" t="s">
        <v>31</v>
      </c>
      <c r="E16" s="8">
        <v>5407.14</v>
      </c>
      <c r="F16" s="5" t="s">
        <v>10</v>
      </c>
      <c r="G16" s="2" t="s">
        <v>20</v>
      </c>
    </row>
    <row r="17" spans="1:8" x14ac:dyDescent="0.2">
      <c r="A17" s="11">
        <v>7</v>
      </c>
      <c r="B17" s="5" t="s">
        <v>22</v>
      </c>
      <c r="C17" s="11">
        <v>85167032587</v>
      </c>
      <c r="D17" s="5" t="s">
        <v>29</v>
      </c>
      <c r="E17" s="8">
        <v>527.30999999999995</v>
      </c>
      <c r="F17" s="5" t="s">
        <v>10</v>
      </c>
      <c r="G17" s="2" t="s">
        <v>21</v>
      </c>
    </row>
    <row r="18" spans="1:8" x14ac:dyDescent="0.2">
      <c r="A18" s="11">
        <v>8</v>
      </c>
      <c r="B18" s="5" t="s">
        <v>180</v>
      </c>
      <c r="C18" s="11">
        <v>87311810356</v>
      </c>
      <c r="D18" s="5" t="s">
        <v>229</v>
      </c>
      <c r="E18" s="8">
        <v>292.43</v>
      </c>
      <c r="F18" s="5" t="s">
        <v>10</v>
      </c>
      <c r="G18" s="2" t="s">
        <v>179</v>
      </c>
    </row>
    <row r="19" spans="1:8" x14ac:dyDescent="0.2">
      <c r="A19" s="11">
        <v>9</v>
      </c>
      <c r="B19" s="5" t="s">
        <v>688</v>
      </c>
      <c r="C19" s="11">
        <v>44040649076</v>
      </c>
      <c r="D19" s="5" t="s">
        <v>689</v>
      </c>
      <c r="E19" s="8">
        <f>38750+3000</f>
        <v>41750</v>
      </c>
      <c r="F19" s="5" t="s">
        <v>10</v>
      </c>
      <c r="G19" s="2" t="s">
        <v>23</v>
      </c>
    </row>
    <row r="20" spans="1:8" x14ac:dyDescent="0.2">
      <c r="A20" s="11">
        <v>10</v>
      </c>
      <c r="B20" s="5" t="s">
        <v>682</v>
      </c>
      <c r="C20" s="11" t="s">
        <v>683</v>
      </c>
      <c r="D20" s="5" t="s">
        <v>684</v>
      </c>
      <c r="E20" s="8">
        <v>35208.199999999997</v>
      </c>
      <c r="F20" s="5" t="s">
        <v>10</v>
      </c>
      <c r="G20" s="2" t="s">
        <v>23</v>
      </c>
    </row>
    <row r="21" spans="1:8" x14ac:dyDescent="0.2">
      <c r="A21" s="11">
        <v>11</v>
      </c>
      <c r="B21" s="5" t="s">
        <v>17</v>
      </c>
      <c r="C21" s="11" t="s">
        <v>17</v>
      </c>
      <c r="D21" s="5" t="s">
        <v>17</v>
      </c>
      <c r="E21" s="8">
        <f>1047867.54+137.5</f>
        <v>1048005.04</v>
      </c>
      <c r="F21" s="5" t="s">
        <v>10</v>
      </c>
      <c r="G21" s="2" t="s">
        <v>34</v>
      </c>
    </row>
    <row r="22" spans="1:8" ht="15" customHeight="1" x14ac:dyDescent="0.2">
      <c r="A22" s="11">
        <v>12</v>
      </c>
      <c r="B22" s="5" t="s">
        <v>349</v>
      </c>
      <c r="C22" s="11">
        <v>31022857153</v>
      </c>
      <c r="D22" s="5" t="s">
        <v>351</v>
      </c>
      <c r="E22" s="8">
        <v>5387.11</v>
      </c>
      <c r="F22" s="5" t="s">
        <v>10</v>
      </c>
      <c r="G22" s="2" t="s">
        <v>350</v>
      </c>
    </row>
    <row r="23" spans="1:8" x14ac:dyDescent="0.2">
      <c r="A23" s="11">
        <v>13</v>
      </c>
      <c r="B23" s="5" t="s">
        <v>579</v>
      </c>
      <c r="C23" s="11">
        <v>54527841697</v>
      </c>
      <c r="D23" s="5" t="s">
        <v>602</v>
      </c>
      <c r="E23" s="8">
        <f>1375+850+850</f>
        <v>3075</v>
      </c>
      <c r="F23" s="5" t="s">
        <v>10</v>
      </c>
      <c r="G23" s="2" t="s">
        <v>23</v>
      </c>
    </row>
    <row r="24" spans="1:8" x14ac:dyDescent="0.2">
      <c r="A24" s="11">
        <v>14</v>
      </c>
      <c r="B24" s="5" t="s">
        <v>39</v>
      </c>
      <c r="C24" s="12" t="s">
        <v>44</v>
      </c>
      <c r="D24" s="5" t="s">
        <v>43</v>
      </c>
      <c r="E24" s="8">
        <f>1292.54+5.14</f>
        <v>1297.68</v>
      </c>
      <c r="F24" s="5" t="s">
        <v>10</v>
      </c>
      <c r="G24" s="2" t="s">
        <v>16</v>
      </c>
    </row>
    <row r="25" spans="1:8" x14ac:dyDescent="0.2">
      <c r="A25" s="11">
        <v>15</v>
      </c>
      <c r="B25" s="5" t="s">
        <v>45</v>
      </c>
      <c r="C25" s="11">
        <v>57500462912</v>
      </c>
      <c r="D25" s="5" t="s">
        <v>47</v>
      </c>
      <c r="E25" s="8">
        <f>300+500+900+300</f>
        <v>2000</v>
      </c>
      <c r="F25" s="5" t="s">
        <v>10</v>
      </c>
      <c r="G25" s="2" t="s">
        <v>46</v>
      </c>
    </row>
    <row r="26" spans="1:8" x14ac:dyDescent="0.2">
      <c r="A26" s="11">
        <v>16</v>
      </c>
      <c r="B26" s="5" t="s">
        <v>154</v>
      </c>
      <c r="C26" s="11">
        <v>33001753417</v>
      </c>
      <c r="D26" s="5" t="s">
        <v>213</v>
      </c>
      <c r="E26" s="8">
        <v>1460</v>
      </c>
      <c r="F26" s="5" t="s">
        <v>10</v>
      </c>
      <c r="G26" s="2" t="s">
        <v>23</v>
      </c>
    </row>
    <row r="27" spans="1:8" x14ac:dyDescent="0.2">
      <c r="A27" s="11">
        <v>17</v>
      </c>
      <c r="B27" s="19" t="s">
        <v>297</v>
      </c>
      <c r="C27" s="36">
        <v>72836081238</v>
      </c>
      <c r="D27" s="19" t="s">
        <v>298</v>
      </c>
      <c r="E27" s="15">
        <v>16250</v>
      </c>
      <c r="F27" s="19" t="s">
        <v>10</v>
      </c>
      <c r="G27" s="28" t="s">
        <v>23</v>
      </c>
    </row>
    <row r="28" spans="1:8" x14ac:dyDescent="0.2">
      <c r="A28" s="11">
        <v>18</v>
      </c>
      <c r="B28" s="5" t="s">
        <v>388</v>
      </c>
      <c r="C28" s="11" t="s">
        <v>390</v>
      </c>
      <c r="D28" s="5" t="s">
        <v>389</v>
      </c>
      <c r="E28" s="8">
        <v>10000</v>
      </c>
      <c r="F28" s="44" t="s">
        <v>10</v>
      </c>
      <c r="G28" s="2" t="s">
        <v>23</v>
      </c>
    </row>
    <row r="29" spans="1:8" x14ac:dyDescent="0.2">
      <c r="A29" s="11">
        <v>19</v>
      </c>
      <c r="B29" s="5" t="s">
        <v>290</v>
      </c>
      <c r="C29" s="11">
        <v>40779258479</v>
      </c>
      <c r="D29" s="5" t="s">
        <v>291</v>
      </c>
      <c r="E29" s="8">
        <v>3293.2</v>
      </c>
      <c r="F29" s="5" t="s">
        <v>10</v>
      </c>
      <c r="G29" s="2" t="s">
        <v>23</v>
      </c>
      <c r="H29" s="13"/>
    </row>
    <row r="30" spans="1:8" x14ac:dyDescent="0.2">
      <c r="A30" s="11">
        <v>20</v>
      </c>
      <c r="B30" s="23" t="s">
        <v>613</v>
      </c>
      <c r="C30" s="24">
        <v>66253945791</v>
      </c>
      <c r="D30" s="38" t="s">
        <v>67</v>
      </c>
      <c r="E30" s="8">
        <f>49875+37727.62+20000+20000</f>
        <v>127602.62</v>
      </c>
      <c r="F30" s="23" t="s">
        <v>10</v>
      </c>
      <c r="G30" s="2" t="s">
        <v>58</v>
      </c>
    </row>
    <row r="31" spans="1:8" x14ac:dyDescent="0.2">
      <c r="A31" s="11">
        <v>21</v>
      </c>
      <c r="B31" s="5" t="s">
        <v>65</v>
      </c>
      <c r="C31" s="11">
        <v>93039509752</v>
      </c>
      <c r="D31" s="5" t="s">
        <v>75</v>
      </c>
      <c r="E31" s="17">
        <f>1622.75+323.51+1692.29</f>
        <v>3638.55</v>
      </c>
      <c r="F31" s="5" t="s">
        <v>10</v>
      </c>
      <c r="G31" s="2" t="s">
        <v>55</v>
      </c>
    </row>
    <row r="32" spans="1:8" x14ac:dyDescent="0.2">
      <c r="A32" s="11">
        <v>22</v>
      </c>
      <c r="B32" s="19" t="s">
        <v>59</v>
      </c>
      <c r="C32" s="36">
        <v>63073332379</v>
      </c>
      <c r="D32" s="19" t="s">
        <v>73</v>
      </c>
      <c r="E32" s="15">
        <v>2725.54</v>
      </c>
      <c r="F32" s="19" t="s">
        <v>10</v>
      </c>
      <c r="G32" s="28" t="s">
        <v>61</v>
      </c>
    </row>
    <row r="33" spans="1:7" x14ac:dyDescent="0.2">
      <c r="A33" s="11">
        <v>23</v>
      </c>
      <c r="B33" s="5" t="s">
        <v>480</v>
      </c>
      <c r="C33" s="11">
        <v>69857578031</v>
      </c>
      <c r="D33" s="5" t="s">
        <v>482</v>
      </c>
      <c r="E33" s="8">
        <v>1502.15</v>
      </c>
      <c r="F33" s="44" t="s">
        <v>10</v>
      </c>
      <c r="G33" s="2" t="s">
        <v>481</v>
      </c>
    </row>
    <row r="34" spans="1:7" ht="12.75" thickBot="1" x14ac:dyDescent="0.25">
      <c r="A34" s="11">
        <v>24</v>
      </c>
      <c r="B34" s="5" t="s">
        <v>755</v>
      </c>
      <c r="C34" s="11">
        <v>44270699963</v>
      </c>
      <c r="D34" s="5" t="s">
        <v>756</v>
      </c>
      <c r="E34" s="18">
        <v>29.7</v>
      </c>
      <c r="F34" s="35" t="s">
        <v>10</v>
      </c>
      <c r="G34" s="32" t="s">
        <v>112</v>
      </c>
    </row>
    <row r="35" spans="1:7" ht="15" customHeight="1" x14ac:dyDescent="0.2">
      <c r="A35" s="84">
        <v>25</v>
      </c>
      <c r="B35" s="82" t="s">
        <v>76</v>
      </c>
      <c r="C35" s="84">
        <v>11471889269</v>
      </c>
      <c r="D35" s="82" t="s">
        <v>77</v>
      </c>
      <c r="E35" s="16">
        <f>2664.89+2523.29</f>
        <v>5188.18</v>
      </c>
      <c r="F35" s="82" t="s">
        <v>10</v>
      </c>
      <c r="G35" s="31" t="s">
        <v>58</v>
      </c>
    </row>
    <row r="36" spans="1:7" ht="12.75" thickBot="1" x14ac:dyDescent="0.25">
      <c r="A36" s="70"/>
      <c r="B36" s="69"/>
      <c r="C36" s="70"/>
      <c r="D36" s="69"/>
      <c r="E36" s="15">
        <f>8253.75+5125+5000+5000+26000</f>
        <v>49378.75</v>
      </c>
      <c r="F36" s="69"/>
      <c r="G36" s="28" t="s">
        <v>23</v>
      </c>
    </row>
    <row r="37" spans="1:7" x14ac:dyDescent="0.2">
      <c r="A37" s="55">
        <v>26</v>
      </c>
      <c r="B37" s="56" t="s">
        <v>78</v>
      </c>
      <c r="C37" s="55">
        <v>27759560625</v>
      </c>
      <c r="D37" s="56" t="s">
        <v>80</v>
      </c>
      <c r="E37" s="16">
        <v>6700.1</v>
      </c>
      <c r="F37" s="56" t="s">
        <v>10</v>
      </c>
      <c r="G37" s="31" t="s">
        <v>79</v>
      </c>
    </row>
    <row r="38" spans="1:7" x14ac:dyDescent="0.2">
      <c r="A38" s="37">
        <v>27</v>
      </c>
      <c r="B38" s="33" t="s">
        <v>655</v>
      </c>
      <c r="C38" s="37" t="s">
        <v>657</v>
      </c>
      <c r="D38" s="33" t="s">
        <v>656</v>
      </c>
      <c r="E38" s="17">
        <v>42.89</v>
      </c>
      <c r="F38" s="33" t="s">
        <v>10</v>
      </c>
      <c r="G38" s="34" t="s">
        <v>23</v>
      </c>
    </row>
    <row r="39" spans="1:7" x14ac:dyDescent="0.2">
      <c r="A39" s="11">
        <v>28</v>
      </c>
      <c r="B39" s="5" t="s">
        <v>550</v>
      </c>
      <c r="C39" s="11">
        <v>22911773746</v>
      </c>
      <c r="D39" s="5" t="s">
        <v>551</v>
      </c>
      <c r="E39" s="8">
        <f>7345+2400</f>
        <v>9745</v>
      </c>
      <c r="F39" s="5" t="s">
        <v>10</v>
      </c>
      <c r="G39" s="2" t="s">
        <v>23</v>
      </c>
    </row>
    <row r="40" spans="1:7" x14ac:dyDescent="0.2">
      <c r="A40" s="37">
        <v>29</v>
      </c>
      <c r="B40" s="5" t="s">
        <v>533</v>
      </c>
      <c r="C40" s="11">
        <v>7882320813</v>
      </c>
      <c r="D40" s="5" t="s">
        <v>1141</v>
      </c>
      <c r="E40" s="8">
        <f>1777.74+1250</f>
        <v>3027.74</v>
      </c>
      <c r="F40" s="5" t="s">
        <v>10</v>
      </c>
      <c r="G40" s="2" t="s">
        <v>367</v>
      </c>
    </row>
    <row r="41" spans="1:7" x14ac:dyDescent="0.2">
      <c r="A41" s="11">
        <v>30</v>
      </c>
      <c r="B41" s="5" t="s">
        <v>552</v>
      </c>
      <c r="C41" s="12" t="s">
        <v>554</v>
      </c>
      <c r="D41" s="5" t="s">
        <v>1338</v>
      </c>
      <c r="E41" s="8">
        <v>32.96</v>
      </c>
      <c r="F41" s="5" t="s">
        <v>10</v>
      </c>
      <c r="G41" s="2" t="s">
        <v>23</v>
      </c>
    </row>
    <row r="42" spans="1:7" x14ac:dyDescent="0.2">
      <c r="A42" s="37">
        <v>31</v>
      </c>
      <c r="B42" s="5" t="s">
        <v>1139</v>
      </c>
      <c r="C42" s="11">
        <v>66402309304</v>
      </c>
      <c r="D42" s="5" t="s">
        <v>1140</v>
      </c>
      <c r="E42" s="8">
        <v>267.89</v>
      </c>
      <c r="F42" s="5" t="s">
        <v>10</v>
      </c>
      <c r="G42" s="2" t="s">
        <v>287</v>
      </c>
    </row>
    <row r="43" spans="1:7" x14ac:dyDescent="0.2">
      <c r="A43" s="11">
        <v>32</v>
      </c>
      <c r="B43" s="5" t="s">
        <v>1231</v>
      </c>
      <c r="C43" s="11">
        <v>910688261</v>
      </c>
      <c r="D43" s="5" t="s">
        <v>1232</v>
      </c>
      <c r="E43" s="8">
        <v>48938.13</v>
      </c>
      <c r="F43" s="5" t="s">
        <v>10</v>
      </c>
      <c r="G43" s="2" t="s">
        <v>23</v>
      </c>
    </row>
    <row r="44" spans="1:7" x14ac:dyDescent="0.2">
      <c r="A44" s="37">
        <v>33</v>
      </c>
      <c r="B44" s="5" t="s">
        <v>100</v>
      </c>
      <c r="C44" s="11" t="s">
        <v>17</v>
      </c>
      <c r="D44" s="5" t="s">
        <v>17</v>
      </c>
      <c r="E44" s="8">
        <v>218.88</v>
      </c>
      <c r="F44" s="5" t="s">
        <v>10</v>
      </c>
      <c r="G44" s="2" t="s">
        <v>99</v>
      </c>
    </row>
    <row r="45" spans="1:7" x14ac:dyDescent="0.2">
      <c r="A45" s="11">
        <v>34</v>
      </c>
      <c r="B45" s="5" t="s">
        <v>17</v>
      </c>
      <c r="C45" s="11" t="s">
        <v>17</v>
      </c>
      <c r="D45" s="5" t="s">
        <v>17</v>
      </c>
      <c r="E45" s="8">
        <v>3024</v>
      </c>
      <c r="F45" s="5" t="s">
        <v>10</v>
      </c>
      <c r="G45" s="2" t="s">
        <v>101</v>
      </c>
    </row>
    <row r="46" spans="1:7" x14ac:dyDescent="0.2">
      <c r="A46" s="37">
        <v>35</v>
      </c>
      <c r="B46" s="5" t="s">
        <v>711</v>
      </c>
      <c r="C46" s="11">
        <v>33813961569</v>
      </c>
      <c r="D46" s="5" t="s">
        <v>712</v>
      </c>
      <c r="E46" s="8">
        <v>29.83</v>
      </c>
      <c r="F46" s="5" t="s">
        <v>10</v>
      </c>
      <c r="G46" s="2" t="s">
        <v>112</v>
      </c>
    </row>
    <row r="47" spans="1:7" x14ac:dyDescent="0.2">
      <c r="A47" s="11">
        <v>36</v>
      </c>
      <c r="B47" s="5" t="s">
        <v>255</v>
      </c>
      <c r="C47" s="11">
        <v>62964458165</v>
      </c>
      <c r="D47" s="5" t="s">
        <v>256</v>
      </c>
      <c r="E47" s="8">
        <v>2989.81</v>
      </c>
      <c r="F47" s="5" t="s">
        <v>10</v>
      </c>
      <c r="G47" s="2" t="s">
        <v>23</v>
      </c>
    </row>
    <row r="48" spans="1:7" x14ac:dyDescent="0.2">
      <c r="A48" s="37">
        <v>37</v>
      </c>
      <c r="B48" s="5" t="s">
        <v>890</v>
      </c>
      <c r="C48" s="12" t="s">
        <v>892</v>
      </c>
      <c r="D48" s="5" t="s">
        <v>891</v>
      </c>
      <c r="E48" s="8">
        <v>745.6</v>
      </c>
      <c r="F48" s="5" t="s">
        <v>10</v>
      </c>
      <c r="G48" s="2" t="s">
        <v>23</v>
      </c>
    </row>
    <row r="49" spans="1:9" x14ac:dyDescent="0.2">
      <c r="A49" s="11">
        <v>38</v>
      </c>
      <c r="B49" s="5" t="s">
        <v>109</v>
      </c>
      <c r="C49" s="11">
        <v>32179081874</v>
      </c>
      <c r="D49" s="5" t="s">
        <v>110</v>
      </c>
      <c r="E49" s="15">
        <f>2361.38+35.96+319.21</f>
        <v>2716.55</v>
      </c>
      <c r="F49" s="19" t="s">
        <v>10</v>
      </c>
      <c r="G49" s="28" t="s">
        <v>108</v>
      </c>
    </row>
    <row r="50" spans="1:9" x14ac:dyDescent="0.2">
      <c r="A50" s="37">
        <v>39</v>
      </c>
      <c r="B50" s="23" t="s">
        <v>113</v>
      </c>
      <c r="C50" s="24">
        <v>76173743169</v>
      </c>
      <c r="D50" s="23" t="s">
        <v>111</v>
      </c>
      <c r="E50" s="8">
        <v>518.26</v>
      </c>
      <c r="F50" s="23" t="s">
        <v>10</v>
      </c>
      <c r="G50" s="2" t="s">
        <v>108</v>
      </c>
    </row>
    <row r="51" spans="1:9" ht="12.75" thickBot="1" x14ac:dyDescent="0.25">
      <c r="A51" s="11">
        <v>40</v>
      </c>
      <c r="B51" s="19" t="s">
        <v>114</v>
      </c>
      <c r="C51" s="43" t="s">
        <v>116</v>
      </c>
      <c r="D51" s="19" t="s">
        <v>117</v>
      </c>
      <c r="E51" s="15">
        <v>957.01</v>
      </c>
      <c r="F51" s="19" t="s">
        <v>10</v>
      </c>
      <c r="G51" s="28" t="s">
        <v>115</v>
      </c>
    </row>
    <row r="52" spans="1:9" x14ac:dyDescent="0.2">
      <c r="A52" s="84">
        <v>41</v>
      </c>
      <c r="B52" s="82" t="s">
        <v>119</v>
      </c>
      <c r="C52" s="84">
        <v>34976993601</v>
      </c>
      <c r="D52" s="82" t="s">
        <v>120</v>
      </c>
      <c r="E52" s="16">
        <v>429.05</v>
      </c>
      <c r="F52" s="82" t="s">
        <v>10</v>
      </c>
      <c r="G52" s="31" t="s">
        <v>118</v>
      </c>
    </row>
    <row r="53" spans="1:9" ht="12.75" thickBot="1" x14ac:dyDescent="0.25">
      <c r="A53" s="85"/>
      <c r="B53" s="83"/>
      <c r="C53" s="85"/>
      <c r="D53" s="83"/>
      <c r="E53" s="18">
        <v>404.67</v>
      </c>
      <c r="F53" s="83"/>
      <c r="G53" s="32" t="s">
        <v>287</v>
      </c>
    </row>
    <row r="54" spans="1:9" x14ac:dyDescent="0.2">
      <c r="A54" s="37">
        <v>42</v>
      </c>
      <c r="B54" s="33" t="s">
        <v>17</v>
      </c>
      <c r="C54" s="37" t="s">
        <v>17</v>
      </c>
      <c r="D54" s="33" t="s">
        <v>17</v>
      </c>
      <c r="E54" s="17">
        <v>1753.1</v>
      </c>
      <c r="F54" s="33" t="s">
        <v>10</v>
      </c>
      <c r="G54" s="34" t="s">
        <v>121</v>
      </c>
    </row>
    <row r="55" spans="1:9" x14ac:dyDescent="0.2">
      <c r="A55" s="11">
        <v>43</v>
      </c>
      <c r="B55" s="5" t="s">
        <v>17</v>
      </c>
      <c r="C55" s="11" t="s">
        <v>17</v>
      </c>
      <c r="D55" s="5" t="s">
        <v>17</v>
      </c>
      <c r="E55" s="8">
        <f>21373.52+711.35-0.7+2869.28</f>
        <v>24953.449999999997</v>
      </c>
      <c r="F55" s="5" t="s">
        <v>10</v>
      </c>
      <c r="G55" s="2" t="s">
        <v>122</v>
      </c>
    </row>
    <row r="56" spans="1:9" x14ac:dyDescent="0.2">
      <c r="A56" s="11">
        <v>44</v>
      </c>
      <c r="B56" s="5" t="s">
        <v>17</v>
      </c>
      <c r="C56" s="11" t="s">
        <v>17</v>
      </c>
      <c r="D56" s="5" t="s">
        <v>17</v>
      </c>
      <c r="E56" s="8">
        <f>560+560</f>
        <v>1120</v>
      </c>
      <c r="F56" s="5" t="s">
        <v>10</v>
      </c>
      <c r="G56" s="2" t="s">
        <v>123</v>
      </c>
    </row>
    <row r="57" spans="1:9" x14ac:dyDescent="0.2">
      <c r="A57" s="11">
        <v>45</v>
      </c>
      <c r="B57" s="5" t="s">
        <v>1137</v>
      </c>
      <c r="C57" s="11">
        <v>52639870872</v>
      </c>
      <c r="D57" s="5" t="s">
        <v>1138</v>
      </c>
      <c r="E57" s="8">
        <v>2531.56</v>
      </c>
      <c r="F57" s="5" t="s">
        <v>10</v>
      </c>
      <c r="G57" s="2" t="s">
        <v>23</v>
      </c>
    </row>
    <row r="58" spans="1:9" x14ac:dyDescent="0.2">
      <c r="A58" s="11">
        <v>46</v>
      </c>
      <c r="B58" s="5" t="s">
        <v>732</v>
      </c>
      <c r="C58" s="11">
        <v>80972836106</v>
      </c>
      <c r="D58" s="5" t="s">
        <v>733</v>
      </c>
      <c r="E58" s="8">
        <f>124.9+187.5</f>
        <v>312.39999999999998</v>
      </c>
      <c r="F58" s="5" t="s">
        <v>10</v>
      </c>
      <c r="G58" s="2" t="s">
        <v>173</v>
      </c>
    </row>
    <row r="59" spans="1:9" x14ac:dyDescent="0.2">
      <c r="A59" s="11">
        <v>47</v>
      </c>
      <c r="B59" s="5" t="s">
        <v>578</v>
      </c>
      <c r="C59" s="11">
        <v>64691033428</v>
      </c>
      <c r="D59" s="5" t="s">
        <v>601</v>
      </c>
      <c r="E59" s="8">
        <v>7374.41</v>
      </c>
      <c r="F59" s="23" t="s">
        <v>10</v>
      </c>
      <c r="G59" s="2" t="s">
        <v>23</v>
      </c>
    </row>
    <row r="60" spans="1:9" x14ac:dyDescent="0.2">
      <c r="A60" s="11">
        <v>48</v>
      </c>
      <c r="B60" s="23" t="s">
        <v>132</v>
      </c>
      <c r="C60" s="24">
        <v>81793146560</v>
      </c>
      <c r="D60" s="23" t="s">
        <v>133</v>
      </c>
      <c r="E60" s="8">
        <f>1922.2+15.33</f>
        <v>1937.53</v>
      </c>
      <c r="F60" s="5" t="s">
        <v>10</v>
      </c>
      <c r="G60" s="2" t="s">
        <v>292</v>
      </c>
    </row>
    <row r="61" spans="1:9" x14ac:dyDescent="0.2">
      <c r="A61" s="11">
        <v>49</v>
      </c>
      <c r="B61" s="5" t="s">
        <v>443</v>
      </c>
      <c r="C61" s="11" t="s">
        <v>17</v>
      </c>
      <c r="D61" s="5" t="s">
        <v>17</v>
      </c>
      <c r="E61" s="8">
        <v>200</v>
      </c>
      <c r="F61" s="5" t="s">
        <v>10</v>
      </c>
      <c r="G61" s="2" t="s">
        <v>179</v>
      </c>
      <c r="I61" s="13"/>
    </row>
    <row r="62" spans="1:9" x14ac:dyDescent="0.2">
      <c r="A62" s="11">
        <v>50</v>
      </c>
      <c r="B62" s="5" t="s">
        <v>17</v>
      </c>
      <c r="C62" s="11" t="s">
        <v>17</v>
      </c>
      <c r="D62" s="5" t="s">
        <v>17</v>
      </c>
      <c r="E62" s="8">
        <v>398.17</v>
      </c>
      <c r="F62" s="5" t="s">
        <v>10</v>
      </c>
      <c r="G62" s="2" t="s">
        <v>1134</v>
      </c>
    </row>
    <row r="63" spans="1:9" x14ac:dyDescent="0.2">
      <c r="A63" s="11">
        <v>51</v>
      </c>
      <c r="B63" s="5" t="s">
        <v>1339</v>
      </c>
      <c r="C63" s="11">
        <v>74867487620</v>
      </c>
      <c r="D63" s="5" t="s">
        <v>314</v>
      </c>
      <c r="E63" s="8">
        <f>1850.96+1168.78+1037.5+252.5+518.75</f>
        <v>4828.49</v>
      </c>
      <c r="F63" s="5" t="s">
        <v>10</v>
      </c>
      <c r="G63" s="2" t="s">
        <v>23</v>
      </c>
    </row>
    <row r="64" spans="1:9" x14ac:dyDescent="0.2">
      <c r="A64" s="11">
        <v>52</v>
      </c>
      <c r="B64" s="5" t="s">
        <v>138</v>
      </c>
      <c r="C64" s="11">
        <v>46163832762</v>
      </c>
      <c r="D64" s="5" t="s">
        <v>202</v>
      </c>
      <c r="E64" s="8">
        <v>138.66</v>
      </c>
      <c r="F64" s="5" t="s">
        <v>10</v>
      </c>
      <c r="G64" s="2" t="s">
        <v>112</v>
      </c>
    </row>
    <row r="65" spans="1:9" x14ac:dyDescent="0.2">
      <c r="A65" s="11">
        <v>53</v>
      </c>
      <c r="B65" s="5" t="s">
        <v>140</v>
      </c>
      <c r="C65" s="11">
        <v>41412434130</v>
      </c>
      <c r="D65" s="5" t="s">
        <v>197</v>
      </c>
      <c r="E65" s="8">
        <v>67.28</v>
      </c>
      <c r="F65" s="5" t="s">
        <v>10</v>
      </c>
      <c r="G65" s="2" t="s">
        <v>112</v>
      </c>
    </row>
    <row r="66" spans="1:9" x14ac:dyDescent="0.2">
      <c r="A66" s="11">
        <v>54</v>
      </c>
      <c r="B66" s="5" t="s">
        <v>855</v>
      </c>
      <c r="C66" s="11">
        <v>41317489366</v>
      </c>
      <c r="D66" s="5" t="s">
        <v>856</v>
      </c>
      <c r="E66" s="8">
        <v>1.4</v>
      </c>
      <c r="F66" s="5" t="s">
        <v>10</v>
      </c>
      <c r="G66" s="2" t="s">
        <v>263</v>
      </c>
      <c r="I66" s="13"/>
    </row>
    <row r="67" spans="1:9" x14ac:dyDescent="0.2">
      <c r="A67" s="11">
        <v>55</v>
      </c>
      <c r="B67" s="5" t="s">
        <v>142</v>
      </c>
      <c r="C67" s="12" t="s">
        <v>203</v>
      </c>
      <c r="D67" s="5" t="s">
        <v>204</v>
      </c>
      <c r="E67" s="8">
        <v>158.69999999999999</v>
      </c>
      <c r="F67" s="5" t="s">
        <v>10</v>
      </c>
      <c r="G67" s="2" t="s">
        <v>112</v>
      </c>
    </row>
    <row r="68" spans="1:9" x14ac:dyDescent="0.2">
      <c r="A68" s="11">
        <v>56</v>
      </c>
      <c r="B68" s="5" t="s">
        <v>143</v>
      </c>
      <c r="C68" s="11">
        <v>85584865987</v>
      </c>
      <c r="D68" s="5" t="s">
        <v>205</v>
      </c>
      <c r="E68" s="8">
        <v>1878.14</v>
      </c>
      <c r="F68" s="5" t="s">
        <v>10</v>
      </c>
      <c r="G68" s="2" t="s">
        <v>112</v>
      </c>
    </row>
    <row r="69" spans="1:9" x14ac:dyDescent="0.2">
      <c r="A69" s="11">
        <v>57</v>
      </c>
      <c r="B69" s="5" t="s">
        <v>144</v>
      </c>
      <c r="C69" s="11" t="s">
        <v>740</v>
      </c>
      <c r="D69" s="5" t="s">
        <v>740</v>
      </c>
      <c r="E69" s="8">
        <v>1008</v>
      </c>
      <c r="F69" s="5" t="s">
        <v>10</v>
      </c>
      <c r="G69" s="2" t="s">
        <v>145</v>
      </c>
    </row>
    <row r="70" spans="1:9" x14ac:dyDescent="0.2">
      <c r="A70" s="11">
        <v>58</v>
      </c>
      <c r="B70" s="5" t="s">
        <v>1340</v>
      </c>
      <c r="C70" s="11">
        <v>39963036018</v>
      </c>
      <c r="D70" s="5" t="s">
        <v>1341</v>
      </c>
      <c r="E70" s="8">
        <v>5322</v>
      </c>
      <c r="F70" s="5" t="s">
        <v>10</v>
      </c>
      <c r="G70" s="2" t="s">
        <v>23</v>
      </c>
    </row>
    <row r="71" spans="1:9" x14ac:dyDescent="0.2">
      <c r="A71" s="11">
        <v>59</v>
      </c>
      <c r="B71" s="5" t="s">
        <v>868</v>
      </c>
      <c r="C71" s="11">
        <v>11374156664</v>
      </c>
      <c r="D71" s="5" t="s">
        <v>869</v>
      </c>
      <c r="E71" s="8">
        <f>71.8+22</f>
        <v>93.8</v>
      </c>
      <c r="F71" s="5" t="s">
        <v>10</v>
      </c>
      <c r="G71" s="2" t="s">
        <v>23</v>
      </c>
    </row>
    <row r="72" spans="1:9" x14ac:dyDescent="0.2">
      <c r="A72" s="11">
        <v>60</v>
      </c>
      <c r="B72" s="5" t="s">
        <v>405</v>
      </c>
      <c r="C72" s="11">
        <v>38411868043</v>
      </c>
      <c r="D72" s="5" t="s">
        <v>406</v>
      </c>
      <c r="E72" s="8">
        <v>11853.75</v>
      </c>
      <c r="F72" s="5" t="s">
        <v>10</v>
      </c>
      <c r="G72" s="2" t="s">
        <v>23</v>
      </c>
    </row>
    <row r="73" spans="1:9" x14ac:dyDescent="0.2">
      <c r="A73" s="11">
        <v>61</v>
      </c>
      <c r="B73" s="5" t="s">
        <v>282</v>
      </c>
      <c r="C73" s="11">
        <v>55175013491</v>
      </c>
      <c r="D73" s="5" t="s">
        <v>283</v>
      </c>
      <c r="E73" s="8">
        <f>4345.43+409.63+151+210.75</f>
        <v>5116.8100000000004</v>
      </c>
      <c r="F73" s="5" t="s">
        <v>10</v>
      </c>
      <c r="G73" s="2" t="s">
        <v>23</v>
      </c>
    </row>
    <row r="74" spans="1:9" x14ac:dyDescent="0.2">
      <c r="A74" s="11">
        <v>62</v>
      </c>
      <c r="B74" s="5" t="s">
        <v>249</v>
      </c>
      <c r="C74" s="11">
        <v>26004523816</v>
      </c>
      <c r="D74" s="5" t="s">
        <v>251</v>
      </c>
      <c r="E74" s="8">
        <v>121.86</v>
      </c>
      <c r="F74" s="5" t="s">
        <v>10</v>
      </c>
      <c r="G74" s="2" t="s">
        <v>23</v>
      </c>
    </row>
    <row r="75" spans="1:9" x14ac:dyDescent="0.2">
      <c r="A75" s="11">
        <v>63</v>
      </c>
      <c r="B75" s="5" t="s">
        <v>364</v>
      </c>
      <c r="C75" s="11">
        <v>42769559951</v>
      </c>
      <c r="D75" s="5" t="s">
        <v>365</v>
      </c>
      <c r="E75" s="8">
        <f>12526.5+2491.15</f>
        <v>15017.65</v>
      </c>
      <c r="F75" s="5" t="s">
        <v>10</v>
      </c>
      <c r="G75" s="2" t="s">
        <v>23</v>
      </c>
    </row>
    <row r="76" spans="1:9" x14ac:dyDescent="0.2">
      <c r="A76" s="11">
        <v>64</v>
      </c>
      <c r="B76" s="5" t="s">
        <v>857</v>
      </c>
      <c r="C76" s="11">
        <v>29035933600</v>
      </c>
      <c r="D76" s="5" t="s">
        <v>447</v>
      </c>
      <c r="E76" s="8">
        <v>159.38999999999999</v>
      </c>
      <c r="F76" s="5" t="s">
        <v>10</v>
      </c>
      <c r="G76" s="2" t="s">
        <v>263</v>
      </c>
    </row>
    <row r="77" spans="1:9" x14ac:dyDescent="0.2">
      <c r="A77" s="11">
        <v>65</v>
      </c>
      <c r="B77" s="5" t="s">
        <v>156</v>
      </c>
      <c r="C77" s="11">
        <v>51645411160</v>
      </c>
      <c r="D77" s="5" t="s">
        <v>215</v>
      </c>
      <c r="E77" s="8">
        <v>542.63</v>
      </c>
      <c r="F77" s="5" t="s">
        <v>10</v>
      </c>
      <c r="G77" s="2" t="s">
        <v>23</v>
      </c>
    </row>
    <row r="78" spans="1:9" x14ac:dyDescent="0.2">
      <c r="A78" s="11">
        <v>66</v>
      </c>
      <c r="B78" s="5" t="s">
        <v>1342</v>
      </c>
      <c r="C78" s="11" t="s">
        <v>417</v>
      </c>
      <c r="D78" s="5" t="s">
        <v>1343</v>
      </c>
      <c r="E78" s="8">
        <v>815.78</v>
      </c>
      <c r="F78" s="5" t="s">
        <v>10</v>
      </c>
      <c r="G78" s="2" t="s">
        <v>23</v>
      </c>
    </row>
    <row r="79" spans="1:9" x14ac:dyDescent="0.2">
      <c r="A79" s="11">
        <v>67</v>
      </c>
      <c r="B79" s="5" t="s">
        <v>157</v>
      </c>
      <c r="C79" s="11" t="s">
        <v>216</v>
      </c>
      <c r="D79" s="5" t="s">
        <v>158</v>
      </c>
      <c r="E79" s="8">
        <f>7031.32+607.5</f>
        <v>7638.82</v>
      </c>
      <c r="F79" s="5" t="s">
        <v>10</v>
      </c>
      <c r="G79" s="2" t="s">
        <v>23</v>
      </c>
    </row>
    <row r="80" spans="1:9" x14ac:dyDescent="0.2">
      <c r="A80" s="11">
        <v>68</v>
      </c>
      <c r="B80" s="5" t="s">
        <v>96</v>
      </c>
      <c r="C80" s="11">
        <v>78997473821</v>
      </c>
      <c r="D80" s="5" t="s">
        <v>98</v>
      </c>
      <c r="E80" s="8">
        <v>116.75</v>
      </c>
      <c r="F80" s="5" t="s">
        <v>10</v>
      </c>
      <c r="G80" s="2" t="s">
        <v>97</v>
      </c>
    </row>
    <row r="81" spans="1:9" x14ac:dyDescent="0.2">
      <c r="A81" s="11">
        <v>69</v>
      </c>
      <c r="B81" s="5" t="s">
        <v>296</v>
      </c>
      <c r="C81" s="11">
        <v>83416546499</v>
      </c>
      <c r="D81" s="5" t="s">
        <v>299</v>
      </c>
      <c r="E81" s="8">
        <f>37.49*2</f>
        <v>74.98</v>
      </c>
      <c r="F81" s="5" t="s">
        <v>10</v>
      </c>
      <c r="G81" s="2" t="s">
        <v>64</v>
      </c>
    </row>
    <row r="82" spans="1:9" x14ac:dyDescent="0.2">
      <c r="A82" s="11">
        <v>70</v>
      </c>
      <c r="B82" s="5" t="s">
        <v>1086</v>
      </c>
      <c r="C82" s="11" t="s">
        <v>1087</v>
      </c>
      <c r="D82" s="5" t="s">
        <v>1088</v>
      </c>
      <c r="E82" s="8">
        <v>2718.6</v>
      </c>
      <c r="F82" s="5" t="s">
        <v>10</v>
      </c>
      <c r="G82" s="2" t="s">
        <v>23</v>
      </c>
    </row>
    <row r="83" spans="1:9" x14ac:dyDescent="0.2">
      <c r="A83" s="11">
        <v>71</v>
      </c>
      <c r="B83" s="5" t="s">
        <v>165</v>
      </c>
      <c r="C83" s="11">
        <v>62534176727</v>
      </c>
      <c r="D83" s="5" t="s">
        <v>222</v>
      </c>
      <c r="E83" s="8">
        <f>1614.5+3688.8+1045.5+1000</f>
        <v>7348.8</v>
      </c>
      <c r="F83" s="5" t="s">
        <v>10</v>
      </c>
      <c r="G83" s="2" t="s">
        <v>23</v>
      </c>
    </row>
    <row r="84" spans="1:9" x14ac:dyDescent="0.2">
      <c r="A84" s="11">
        <v>72</v>
      </c>
      <c r="B84" s="5" t="s">
        <v>170</v>
      </c>
      <c r="C84" s="11">
        <v>52233171260</v>
      </c>
      <c r="D84" s="5" t="s">
        <v>224</v>
      </c>
      <c r="E84" s="15">
        <v>5435</v>
      </c>
      <c r="F84" s="19" t="s">
        <v>10</v>
      </c>
      <c r="G84" s="28" t="s">
        <v>23</v>
      </c>
    </row>
    <row r="85" spans="1:9" x14ac:dyDescent="0.2">
      <c r="A85" s="11">
        <v>73</v>
      </c>
      <c r="B85" s="23" t="s">
        <v>168</v>
      </c>
      <c r="C85" s="24">
        <v>87682591133</v>
      </c>
      <c r="D85" s="23" t="s">
        <v>223</v>
      </c>
      <c r="E85" s="15">
        <f>28368.66+5000+1000</f>
        <v>34368.660000000003</v>
      </c>
      <c r="F85" s="23" t="s">
        <v>10</v>
      </c>
      <c r="G85" s="28" t="s">
        <v>23</v>
      </c>
      <c r="I85" s="13"/>
    </row>
    <row r="86" spans="1:9" x14ac:dyDescent="0.2">
      <c r="A86" s="11">
        <v>74</v>
      </c>
      <c r="B86" s="50" t="s">
        <v>169</v>
      </c>
      <c r="C86" s="11">
        <v>19849957757</v>
      </c>
      <c r="D86" s="50" t="s">
        <v>225</v>
      </c>
      <c r="E86" s="8">
        <f>9463.13+6771.48</f>
        <v>16234.609999999999</v>
      </c>
      <c r="F86" s="50" t="s">
        <v>10</v>
      </c>
      <c r="G86" s="2" t="s">
        <v>23</v>
      </c>
    </row>
    <row r="87" spans="1:9" x14ac:dyDescent="0.2">
      <c r="A87" s="11">
        <v>75</v>
      </c>
      <c r="B87" s="5" t="s">
        <v>305</v>
      </c>
      <c r="C87" s="11" t="s">
        <v>307</v>
      </c>
      <c r="D87" s="5" t="s">
        <v>306</v>
      </c>
      <c r="E87" s="17">
        <f>2448.63+545.74</f>
        <v>2994.37</v>
      </c>
      <c r="F87" s="33" t="s">
        <v>10</v>
      </c>
      <c r="G87" s="34" t="s">
        <v>23</v>
      </c>
    </row>
    <row r="88" spans="1:9" x14ac:dyDescent="0.2">
      <c r="A88" s="11">
        <v>76</v>
      </c>
      <c r="B88" s="5" t="s">
        <v>730</v>
      </c>
      <c r="C88" s="11">
        <v>85821130368</v>
      </c>
      <c r="D88" s="5" t="s">
        <v>731</v>
      </c>
      <c r="E88" s="8">
        <v>16.600000000000001</v>
      </c>
      <c r="F88" s="27" t="s">
        <v>10</v>
      </c>
      <c r="G88" s="2" t="s">
        <v>176</v>
      </c>
    </row>
    <row r="89" spans="1:9" x14ac:dyDescent="0.2">
      <c r="A89" s="11">
        <v>77</v>
      </c>
      <c r="B89" s="5" t="s">
        <v>451</v>
      </c>
      <c r="C89" s="11" t="s">
        <v>452</v>
      </c>
      <c r="D89" s="5" t="s">
        <v>453</v>
      </c>
      <c r="E89" s="8">
        <f>1079.94+674.18</f>
        <v>1754.12</v>
      </c>
      <c r="F89" s="5" t="s">
        <v>10</v>
      </c>
      <c r="G89" s="2" t="s">
        <v>23</v>
      </c>
    </row>
    <row r="90" spans="1:9" x14ac:dyDescent="0.2">
      <c r="A90" s="11">
        <v>78</v>
      </c>
      <c r="B90" s="5" t="s">
        <v>329</v>
      </c>
      <c r="C90" s="11">
        <v>84523433179</v>
      </c>
      <c r="D90" s="5" t="s">
        <v>331</v>
      </c>
      <c r="E90" s="8">
        <f>662.67+53.47</f>
        <v>716.14</v>
      </c>
      <c r="F90" s="5" t="s">
        <v>10</v>
      </c>
      <c r="G90" s="2" t="s">
        <v>330</v>
      </c>
    </row>
    <row r="91" spans="1:9" x14ac:dyDescent="0.2">
      <c r="A91" s="11">
        <v>79</v>
      </c>
      <c r="B91" s="5" t="s">
        <v>17</v>
      </c>
      <c r="C91" s="11" t="s">
        <v>17</v>
      </c>
      <c r="D91" s="5" t="s">
        <v>17</v>
      </c>
      <c r="E91" s="8">
        <f>1400+1400+1400+1400</f>
        <v>5600</v>
      </c>
      <c r="F91" s="5" t="s">
        <v>10</v>
      </c>
      <c r="G91" s="2" t="s">
        <v>177</v>
      </c>
    </row>
    <row r="92" spans="1:9" x14ac:dyDescent="0.2">
      <c r="A92" s="11">
        <v>80</v>
      </c>
      <c r="B92" s="19" t="s">
        <v>17</v>
      </c>
      <c r="C92" s="36" t="s">
        <v>17</v>
      </c>
      <c r="D92" s="19" t="s">
        <v>17</v>
      </c>
      <c r="E92" s="15">
        <v>2423.7800000000002</v>
      </c>
      <c r="F92" s="19" t="s">
        <v>10</v>
      </c>
      <c r="G92" s="28" t="s">
        <v>178</v>
      </c>
    </row>
    <row r="93" spans="1:9" x14ac:dyDescent="0.2">
      <c r="A93" s="11">
        <v>81</v>
      </c>
      <c r="B93" s="5" t="s">
        <v>187</v>
      </c>
      <c r="C93" s="11">
        <v>22694857747</v>
      </c>
      <c r="D93" s="5" t="s">
        <v>239</v>
      </c>
      <c r="E93" s="8">
        <v>731.06</v>
      </c>
      <c r="F93" s="5" t="s">
        <v>10</v>
      </c>
      <c r="G93" s="2" t="s">
        <v>188</v>
      </c>
    </row>
    <row r="94" spans="1:9" x14ac:dyDescent="0.2">
      <c r="A94" s="11">
        <v>82</v>
      </c>
      <c r="B94" s="5" t="s">
        <v>230</v>
      </c>
      <c r="C94" s="11">
        <v>62969535840</v>
      </c>
      <c r="D94" s="5" t="s">
        <v>231</v>
      </c>
      <c r="E94" s="20">
        <v>907.99</v>
      </c>
      <c r="F94" s="40" t="s">
        <v>10</v>
      </c>
      <c r="G94" s="41" t="s">
        <v>23</v>
      </c>
    </row>
    <row r="95" spans="1:9" x14ac:dyDescent="0.2">
      <c r="A95" s="11">
        <v>83</v>
      </c>
      <c r="B95" s="5" t="s">
        <v>586</v>
      </c>
      <c r="C95" s="11">
        <v>100299833</v>
      </c>
      <c r="D95" s="5" t="s">
        <v>610</v>
      </c>
      <c r="E95" s="8">
        <f>9235+810</f>
        <v>10045</v>
      </c>
      <c r="F95" s="5" t="s">
        <v>10</v>
      </c>
      <c r="G95" s="2" t="s">
        <v>23</v>
      </c>
    </row>
    <row r="96" spans="1:9" x14ac:dyDescent="0.2">
      <c r="A96" s="11">
        <v>84</v>
      </c>
      <c r="B96" s="5" t="s">
        <v>704</v>
      </c>
      <c r="C96" s="11">
        <v>11294943436</v>
      </c>
      <c r="D96" s="5" t="s">
        <v>705</v>
      </c>
      <c r="E96" s="8">
        <v>76.53</v>
      </c>
      <c r="F96" s="5" t="s">
        <v>10</v>
      </c>
      <c r="G96" s="2" t="s">
        <v>112</v>
      </c>
    </row>
    <row r="97" spans="1:9" x14ac:dyDescent="0.2">
      <c r="A97" s="11">
        <v>85</v>
      </c>
      <c r="B97" s="5" t="s">
        <v>1344</v>
      </c>
      <c r="C97" s="11">
        <v>15533693916</v>
      </c>
      <c r="D97" s="5" t="s">
        <v>843</v>
      </c>
      <c r="E97" s="8">
        <v>4695</v>
      </c>
      <c r="F97" s="5" t="s">
        <v>10</v>
      </c>
      <c r="G97" s="2" t="s">
        <v>23</v>
      </c>
    </row>
    <row r="98" spans="1:9" x14ac:dyDescent="0.2">
      <c r="A98" s="11">
        <v>86</v>
      </c>
      <c r="B98" s="5" t="s">
        <v>189</v>
      </c>
      <c r="C98" s="11">
        <v>79014493590</v>
      </c>
      <c r="D98" s="5" t="s">
        <v>238</v>
      </c>
      <c r="E98" s="8">
        <v>748.13</v>
      </c>
      <c r="F98" s="5" t="s">
        <v>10</v>
      </c>
      <c r="G98" s="2" t="s">
        <v>190</v>
      </c>
    </row>
    <row r="99" spans="1:9" x14ac:dyDescent="0.2">
      <c r="A99" s="11">
        <v>87</v>
      </c>
      <c r="B99" s="5" t="s">
        <v>676</v>
      </c>
      <c r="C99" s="11" t="s">
        <v>677</v>
      </c>
      <c r="D99" s="5" t="s">
        <v>678</v>
      </c>
      <c r="E99" s="8">
        <v>287.2</v>
      </c>
      <c r="F99" s="5" t="s">
        <v>10</v>
      </c>
      <c r="G99" s="2" t="s">
        <v>23</v>
      </c>
    </row>
    <row r="100" spans="1:9" x14ac:dyDescent="0.2">
      <c r="A100" s="11">
        <v>88</v>
      </c>
      <c r="B100" s="5" t="s">
        <v>668</v>
      </c>
      <c r="C100" s="12" t="s">
        <v>670</v>
      </c>
      <c r="D100" s="5" t="s">
        <v>669</v>
      </c>
      <c r="E100" s="15">
        <v>1411.7</v>
      </c>
      <c r="F100" s="19" t="s">
        <v>10</v>
      </c>
      <c r="G100" s="28" t="s">
        <v>23</v>
      </c>
    </row>
    <row r="101" spans="1:9" x14ac:dyDescent="0.2">
      <c r="A101" s="11">
        <v>89</v>
      </c>
      <c r="B101" s="23" t="s">
        <v>191</v>
      </c>
      <c r="C101" s="24">
        <v>34421776805</v>
      </c>
      <c r="D101" s="23" t="s">
        <v>240</v>
      </c>
      <c r="E101" s="8">
        <v>781.95</v>
      </c>
      <c r="F101" s="44" t="s">
        <v>10</v>
      </c>
      <c r="G101" s="2" t="s">
        <v>192</v>
      </c>
    </row>
    <row r="102" spans="1:9" x14ac:dyDescent="0.2">
      <c r="A102" s="11">
        <v>90</v>
      </c>
      <c r="B102" s="5" t="s">
        <v>17</v>
      </c>
      <c r="C102" s="11" t="s">
        <v>17</v>
      </c>
      <c r="D102" s="5" t="s">
        <v>17</v>
      </c>
      <c r="E102" s="8">
        <v>70.8</v>
      </c>
      <c r="F102" s="5" t="s">
        <v>10</v>
      </c>
      <c r="G102" s="2" t="s">
        <v>635</v>
      </c>
    </row>
    <row r="103" spans="1:9" x14ac:dyDescent="0.2">
      <c r="A103" s="11">
        <v>91</v>
      </c>
      <c r="B103" s="5" t="s">
        <v>17</v>
      </c>
      <c r="C103" s="11" t="s">
        <v>17</v>
      </c>
      <c r="D103" s="5" t="s">
        <v>17</v>
      </c>
      <c r="E103" s="8">
        <v>413.44</v>
      </c>
      <c r="F103" s="5" t="s">
        <v>10</v>
      </c>
      <c r="G103" s="2" t="s">
        <v>194</v>
      </c>
    </row>
    <row r="104" spans="1:9" x14ac:dyDescent="0.2">
      <c r="A104" s="11">
        <v>92</v>
      </c>
      <c r="B104" s="5" t="s">
        <v>698</v>
      </c>
      <c r="C104" s="11">
        <v>41921055528</v>
      </c>
      <c r="D104" s="5" t="s">
        <v>699</v>
      </c>
      <c r="E104" s="8">
        <v>828</v>
      </c>
      <c r="F104" s="5" t="s">
        <v>10</v>
      </c>
      <c r="G104" s="2" t="s">
        <v>147</v>
      </c>
    </row>
    <row r="105" spans="1:9" x14ac:dyDescent="0.2">
      <c r="A105" s="11">
        <v>93</v>
      </c>
      <c r="B105" s="5" t="s">
        <v>159</v>
      </c>
      <c r="C105" s="11">
        <v>64862538713</v>
      </c>
      <c r="D105" s="5" t="s">
        <v>217</v>
      </c>
      <c r="E105" s="8">
        <v>600</v>
      </c>
      <c r="F105" s="5" t="s">
        <v>10</v>
      </c>
      <c r="G105" s="2" t="s">
        <v>23</v>
      </c>
    </row>
    <row r="106" spans="1:9" x14ac:dyDescent="0.2">
      <c r="A106" s="11">
        <v>94</v>
      </c>
      <c r="B106" s="5" t="s">
        <v>242</v>
      </c>
      <c r="C106" s="11">
        <v>49800593791</v>
      </c>
      <c r="D106" s="5" t="s">
        <v>244</v>
      </c>
      <c r="E106" s="8">
        <f>7815.17+3391.17+619.53</f>
        <v>11825.87</v>
      </c>
      <c r="F106" s="5" t="s">
        <v>10</v>
      </c>
      <c r="G106" s="2" t="s">
        <v>243</v>
      </c>
    </row>
    <row r="107" spans="1:9" x14ac:dyDescent="0.2">
      <c r="A107" s="11">
        <v>95</v>
      </c>
      <c r="B107" s="5" t="s">
        <v>658</v>
      </c>
      <c r="C107" s="11">
        <v>24846301629</v>
      </c>
      <c r="D107" s="5" t="s">
        <v>659</v>
      </c>
      <c r="E107" s="15">
        <v>124.3</v>
      </c>
      <c r="F107" s="19" t="s">
        <v>10</v>
      </c>
      <c r="G107" s="28" t="s">
        <v>23</v>
      </c>
      <c r="H107" s="13"/>
    </row>
    <row r="108" spans="1:9" x14ac:dyDescent="0.2">
      <c r="A108" s="11">
        <v>96</v>
      </c>
      <c r="B108" s="44" t="s">
        <v>248</v>
      </c>
      <c r="C108" s="45">
        <v>47428597158</v>
      </c>
      <c r="D108" s="44" t="s">
        <v>250</v>
      </c>
      <c r="E108" s="8">
        <v>2908.59</v>
      </c>
      <c r="F108" s="44" t="s">
        <v>10</v>
      </c>
      <c r="G108" s="2" t="s">
        <v>23</v>
      </c>
      <c r="I108" s="13"/>
    </row>
    <row r="109" spans="1:9" x14ac:dyDescent="0.2">
      <c r="A109" s="11">
        <v>97</v>
      </c>
      <c r="B109" s="5" t="s">
        <v>252</v>
      </c>
      <c r="C109" s="12" t="s">
        <v>254</v>
      </c>
      <c r="D109" s="5" t="s">
        <v>253</v>
      </c>
      <c r="E109" s="8">
        <v>316.75</v>
      </c>
      <c r="F109" s="5" t="s">
        <v>10</v>
      </c>
      <c r="G109" s="2" t="s">
        <v>112</v>
      </c>
    </row>
    <row r="110" spans="1:9" x14ac:dyDescent="0.2">
      <c r="A110" s="11">
        <v>98</v>
      </c>
      <c r="B110" s="5" t="s">
        <v>587</v>
      </c>
      <c r="C110" s="11" t="s">
        <v>612</v>
      </c>
      <c r="D110" s="5" t="s">
        <v>611</v>
      </c>
      <c r="E110" s="8">
        <v>10000</v>
      </c>
      <c r="F110" s="5" t="s">
        <v>10</v>
      </c>
      <c r="G110" s="2" t="s">
        <v>23</v>
      </c>
    </row>
    <row r="111" spans="1:9" x14ac:dyDescent="0.2">
      <c r="A111" s="11">
        <v>99</v>
      </c>
      <c r="B111" s="5" t="s">
        <v>257</v>
      </c>
      <c r="C111" s="11">
        <v>25392808959</v>
      </c>
      <c r="D111" s="5" t="s">
        <v>258</v>
      </c>
      <c r="E111" s="8">
        <v>3879.85</v>
      </c>
      <c r="F111" s="5" t="s">
        <v>10</v>
      </c>
      <c r="G111" s="2" t="s">
        <v>23</v>
      </c>
      <c r="I111" s="13"/>
    </row>
    <row r="112" spans="1:9" x14ac:dyDescent="0.2">
      <c r="A112" s="11">
        <v>100</v>
      </c>
      <c r="B112" s="5" t="s">
        <v>1070</v>
      </c>
      <c r="C112" s="11">
        <v>73294314024</v>
      </c>
      <c r="D112" s="5" t="s">
        <v>675</v>
      </c>
      <c r="E112" s="8">
        <v>185.45</v>
      </c>
      <c r="F112" s="5" t="s">
        <v>10</v>
      </c>
      <c r="G112" s="2" t="s">
        <v>662</v>
      </c>
    </row>
    <row r="113" spans="1:8" x14ac:dyDescent="0.2">
      <c r="A113" s="11">
        <v>101</v>
      </c>
      <c r="B113" s="5" t="s">
        <v>512</v>
      </c>
      <c r="C113" s="11">
        <v>44284514731</v>
      </c>
      <c r="D113" s="5" t="s">
        <v>514</v>
      </c>
      <c r="E113" s="8">
        <f>2423.2+2423.2</f>
        <v>4846.3999999999996</v>
      </c>
      <c r="F113" s="5" t="s">
        <v>10</v>
      </c>
      <c r="G113" s="2" t="s">
        <v>23</v>
      </c>
    </row>
    <row r="114" spans="1:8" x14ac:dyDescent="0.2">
      <c r="A114" s="11">
        <v>102</v>
      </c>
      <c r="B114" s="5" t="s">
        <v>709</v>
      </c>
      <c r="C114" s="11">
        <v>34604734054</v>
      </c>
      <c r="D114" s="5" t="s">
        <v>710</v>
      </c>
      <c r="E114" s="8">
        <f>59.06+130.04</f>
        <v>189.1</v>
      </c>
      <c r="F114" s="5" t="s">
        <v>10</v>
      </c>
      <c r="G114" s="2" t="s">
        <v>330</v>
      </c>
      <c r="H114" s="13"/>
    </row>
    <row r="115" spans="1:8" x14ac:dyDescent="0.2">
      <c r="A115" s="11">
        <v>103</v>
      </c>
      <c r="B115" s="5" t="s">
        <v>870</v>
      </c>
      <c r="C115" s="12">
        <v>34683682958</v>
      </c>
      <c r="D115" s="5" t="s">
        <v>545</v>
      </c>
      <c r="E115" s="8">
        <f>125.38+59.85</f>
        <v>185.23</v>
      </c>
      <c r="F115" s="5" t="s">
        <v>10</v>
      </c>
      <c r="G115" s="2" t="s">
        <v>330</v>
      </c>
    </row>
    <row r="116" spans="1:8" x14ac:dyDescent="0.2">
      <c r="A116" s="11">
        <v>104</v>
      </c>
      <c r="B116" s="5" t="s">
        <v>265</v>
      </c>
      <c r="C116" s="11">
        <v>63988426425</v>
      </c>
      <c r="D116" s="5" t="s">
        <v>266</v>
      </c>
      <c r="E116" s="8">
        <f>70260.51+9156.66+8724.33+2373.61+1240.25+4444.98</f>
        <v>96200.34</v>
      </c>
      <c r="F116" s="5" t="s">
        <v>10</v>
      </c>
      <c r="G116" s="2" t="s">
        <v>23</v>
      </c>
    </row>
    <row r="117" spans="1:8" x14ac:dyDescent="0.2">
      <c r="A117" s="11">
        <v>105</v>
      </c>
      <c r="B117" s="5" t="s">
        <v>1150</v>
      </c>
      <c r="C117" s="11">
        <v>75989437093</v>
      </c>
      <c r="D117" s="5" t="s">
        <v>1151</v>
      </c>
      <c r="E117" s="8">
        <v>549.24</v>
      </c>
      <c r="F117" s="5" t="s">
        <v>10</v>
      </c>
      <c r="G117" s="2" t="s">
        <v>23</v>
      </c>
    </row>
    <row r="118" spans="1:8" x14ac:dyDescent="0.2">
      <c r="A118" s="11">
        <v>106</v>
      </c>
      <c r="B118" s="5" t="s">
        <v>590</v>
      </c>
      <c r="C118" s="11">
        <v>38867318377</v>
      </c>
      <c r="D118" s="5" t="s">
        <v>591</v>
      </c>
      <c r="E118" s="8">
        <f>305.95+150.56</f>
        <v>456.51</v>
      </c>
      <c r="F118" s="5" t="s">
        <v>10</v>
      </c>
      <c r="G118" s="2" t="s">
        <v>23</v>
      </c>
    </row>
    <row r="119" spans="1:8" x14ac:dyDescent="0.2">
      <c r="A119" s="11">
        <v>107</v>
      </c>
      <c r="B119" s="23" t="s">
        <v>131</v>
      </c>
      <c r="C119" s="24">
        <v>70133616033</v>
      </c>
      <c r="D119" s="23" t="s">
        <v>134</v>
      </c>
      <c r="E119" s="8">
        <f>2223.31+1735.31</f>
        <v>3958.62</v>
      </c>
      <c r="F119" s="5" t="s">
        <v>10</v>
      </c>
      <c r="G119" s="2" t="s">
        <v>292</v>
      </c>
    </row>
    <row r="120" spans="1:8" x14ac:dyDescent="0.2">
      <c r="A120" s="11">
        <v>108</v>
      </c>
      <c r="B120" s="5" t="s">
        <v>278</v>
      </c>
      <c r="C120" s="11">
        <v>51846314410</v>
      </c>
      <c r="D120" s="5" t="s">
        <v>279</v>
      </c>
      <c r="E120" s="8">
        <v>458.58</v>
      </c>
      <c r="F120" s="5" t="s">
        <v>10</v>
      </c>
      <c r="G120" s="2" t="s">
        <v>23</v>
      </c>
    </row>
    <row r="121" spans="1:8" x14ac:dyDescent="0.2">
      <c r="A121" s="11">
        <v>109</v>
      </c>
      <c r="B121" s="5" t="s">
        <v>276</v>
      </c>
      <c r="C121" s="11">
        <v>64546066176</v>
      </c>
      <c r="D121" s="5" t="s">
        <v>277</v>
      </c>
      <c r="E121" s="8">
        <v>266.27</v>
      </c>
      <c r="F121" s="5" t="s">
        <v>10</v>
      </c>
      <c r="G121" s="2" t="s">
        <v>23</v>
      </c>
    </row>
    <row r="122" spans="1:8" x14ac:dyDescent="0.2">
      <c r="A122" s="11">
        <v>110</v>
      </c>
      <c r="B122" s="50" t="s">
        <v>293</v>
      </c>
      <c r="C122" s="45">
        <v>65952859647</v>
      </c>
      <c r="D122" s="44" t="s">
        <v>295</v>
      </c>
      <c r="E122" s="8">
        <f>5561.25+21709.08+18021.25+5000+1000</f>
        <v>51291.58</v>
      </c>
      <c r="F122" s="50" t="s">
        <v>10</v>
      </c>
      <c r="G122" s="2" t="s">
        <v>23</v>
      </c>
    </row>
    <row r="123" spans="1:8" x14ac:dyDescent="0.2">
      <c r="A123" s="11">
        <v>111</v>
      </c>
      <c r="B123" s="5" t="s">
        <v>245</v>
      </c>
      <c r="C123" s="11">
        <v>48491501393</v>
      </c>
      <c r="D123" s="5" t="s">
        <v>246</v>
      </c>
      <c r="E123" s="17">
        <v>8816.7099999999991</v>
      </c>
      <c r="F123" s="33" t="s">
        <v>10</v>
      </c>
      <c r="G123" s="34" t="s">
        <v>23</v>
      </c>
    </row>
    <row r="124" spans="1:8" x14ac:dyDescent="0.2">
      <c r="A124" s="11">
        <v>112</v>
      </c>
      <c r="B124" s="5" t="s">
        <v>284</v>
      </c>
      <c r="C124" s="11">
        <v>10235187780</v>
      </c>
      <c r="D124" s="5" t="s">
        <v>286</v>
      </c>
      <c r="E124" s="8">
        <v>374.53</v>
      </c>
      <c r="F124" s="5" t="s">
        <v>10</v>
      </c>
      <c r="G124" s="2" t="s">
        <v>285</v>
      </c>
    </row>
    <row r="125" spans="1:8" x14ac:dyDescent="0.2">
      <c r="A125" s="11">
        <v>113</v>
      </c>
      <c r="B125" s="5" t="s">
        <v>301</v>
      </c>
      <c r="C125" s="11">
        <v>60314119747</v>
      </c>
      <c r="D125" s="5" t="s">
        <v>298</v>
      </c>
      <c r="E125" s="8">
        <f>67824.66+9316.88+18938.45+5000+3000</f>
        <v>104079.99</v>
      </c>
      <c r="F125" s="5" t="s">
        <v>10</v>
      </c>
      <c r="G125" s="2" t="s">
        <v>23</v>
      </c>
    </row>
    <row r="126" spans="1:8" x14ac:dyDescent="0.2">
      <c r="A126" s="11">
        <v>114</v>
      </c>
      <c r="B126" s="5" t="s">
        <v>83</v>
      </c>
      <c r="C126" s="11">
        <v>68419124305</v>
      </c>
      <c r="D126" s="5" t="s">
        <v>84</v>
      </c>
      <c r="E126" s="8">
        <v>106.2</v>
      </c>
      <c r="F126" s="5" t="s">
        <v>10</v>
      </c>
      <c r="G126" s="2" t="s">
        <v>82</v>
      </c>
    </row>
    <row r="127" spans="1:8" x14ac:dyDescent="0.2">
      <c r="A127" s="11">
        <v>115</v>
      </c>
      <c r="B127" s="5" t="s">
        <v>437</v>
      </c>
      <c r="C127" s="11">
        <v>76147579166</v>
      </c>
      <c r="D127" s="5" t="s">
        <v>438</v>
      </c>
      <c r="E127" s="8">
        <v>435.08</v>
      </c>
      <c r="F127" s="5" t="s">
        <v>10</v>
      </c>
      <c r="G127" s="2" t="s">
        <v>23</v>
      </c>
    </row>
    <row r="128" spans="1:8" x14ac:dyDescent="0.2">
      <c r="A128" s="11">
        <v>116</v>
      </c>
      <c r="B128" s="5" t="s">
        <v>308</v>
      </c>
      <c r="C128" s="12" t="s">
        <v>310</v>
      </c>
      <c r="D128" s="5" t="s">
        <v>309</v>
      </c>
      <c r="E128" s="8">
        <v>18100</v>
      </c>
      <c r="F128" s="5" t="s">
        <v>10</v>
      </c>
      <c r="G128" s="2" t="s">
        <v>23</v>
      </c>
    </row>
    <row r="129" spans="1:12" x14ac:dyDescent="0.2">
      <c r="A129" s="11">
        <v>117</v>
      </c>
      <c r="B129" s="5" t="s">
        <v>311</v>
      </c>
      <c r="C129" s="11">
        <v>95243482140</v>
      </c>
      <c r="D129" s="5" t="s">
        <v>312</v>
      </c>
      <c r="E129" s="8">
        <f>2108.46+1113.35+178.9+709.37</f>
        <v>4110.08</v>
      </c>
      <c r="F129" s="5" t="s">
        <v>10</v>
      </c>
      <c r="G129" s="2" t="s">
        <v>23</v>
      </c>
    </row>
    <row r="130" spans="1:12" x14ac:dyDescent="0.2">
      <c r="A130" s="11">
        <v>118</v>
      </c>
      <c r="B130" s="5" t="s">
        <v>1266</v>
      </c>
      <c r="C130" s="11">
        <v>80805858278</v>
      </c>
      <c r="D130" s="5" t="s">
        <v>253</v>
      </c>
      <c r="E130" s="8">
        <v>55.87</v>
      </c>
      <c r="F130" s="5" t="s">
        <v>10</v>
      </c>
      <c r="G130" s="2" t="s">
        <v>64</v>
      </c>
    </row>
    <row r="131" spans="1:12" x14ac:dyDescent="0.2">
      <c r="A131" s="11">
        <v>119</v>
      </c>
      <c r="B131" s="5" t="s">
        <v>315</v>
      </c>
      <c r="C131" s="11">
        <v>98656691838</v>
      </c>
      <c r="D131" s="5" t="s">
        <v>316</v>
      </c>
      <c r="E131" s="8">
        <v>2975</v>
      </c>
      <c r="F131" s="5" t="s">
        <v>10</v>
      </c>
      <c r="G131" s="2" t="s">
        <v>23</v>
      </c>
    </row>
    <row r="132" spans="1:12" x14ac:dyDescent="0.2">
      <c r="A132" s="11">
        <v>120</v>
      </c>
      <c r="B132" s="5" t="s">
        <v>321</v>
      </c>
      <c r="C132" s="11">
        <v>66346732180</v>
      </c>
      <c r="D132" s="5" t="s">
        <v>322</v>
      </c>
      <c r="E132" s="8">
        <v>100</v>
      </c>
      <c r="F132" s="5" t="s">
        <v>10</v>
      </c>
      <c r="G132" s="2" t="s">
        <v>243</v>
      </c>
    </row>
    <row r="133" spans="1:12" x14ac:dyDescent="0.2">
      <c r="A133" s="11">
        <v>121</v>
      </c>
      <c r="B133" s="5" t="s">
        <v>323</v>
      </c>
      <c r="C133" s="11">
        <v>15907062900</v>
      </c>
      <c r="D133" s="5" t="s">
        <v>325</v>
      </c>
      <c r="E133" s="8">
        <v>2692.33</v>
      </c>
      <c r="F133" s="5" t="s">
        <v>10</v>
      </c>
      <c r="G133" s="2" t="s">
        <v>324</v>
      </c>
    </row>
    <row r="134" spans="1:12" x14ac:dyDescent="0.2">
      <c r="A134" s="11">
        <v>122</v>
      </c>
      <c r="B134" s="5" t="s">
        <v>1011</v>
      </c>
      <c r="C134" s="11">
        <v>57270798205</v>
      </c>
      <c r="D134" s="5" t="s">
        <v>1012</v>
      </c>
      <c r="E134" s="8">
        <f>995.5+498.56</f>
        <v>1494.06</v>
      </c>
      <c r="F134" s="5" t="s">
        <v>10</v>
      </c>
      <c r="G134" s="2" t="s">
        <v>12</v>
      </c>
    </row>
    <row r="135" spans="1:12" x14ac:dyDescent="0.2">
      <c r="A135" s="11">
        <v>123</v>
      </c>
      <c r="B135" s="5" t="s">
        <v>88</v>
      </c>
      <c r="C135" s="11">
        <v>42889250808</v>
      </c>
      <c r="D135" s="5" t="s">
        <v>90</v>
      </c>
      <c r="E135" s="8">
        <v>75.209999999999994</v>
      </c>
      <c r="F135" s="5" t="s">
        <v>10</v>
      </c>
      <c r="G135" s="2" t="s">
        <v>86</v>
      </c>
    </row>
    <row r="136" spans="1:12" x14ac:dyDescent="0.2">
      <c r="A136" s="11">
        <v>124</v>
      </c>
      <c r="B136" s="5" t="s">
        <v>174</v>
      </c>
      <c r="C136" s="11">
        <v>79517545745</v>
      </c>
      <c r="D136" s="5" t="s">
        <v>227</v>
      </c>
      <c r="E136" s="8">
        <v>151.65</v>
      </c>
      <c r="F136" s="5" t="s">
        <v>10</v>
      </c>
      <c r="G136" s="2" t="s">
        <v>176</v>
      </c>
    </row>
    <row r="137" spans="1:12" x14ac:dyDescent="0.2">
      <c r="A137" s="11">
        <v>125</v>
      </c>
      <c r="B137" s="5" t="s">
        <v>182</v>
      </c>
      <c r="C137" s="12" t="s">
        <v>234</v>
      </c>
      <c r="D137" s="5" t="s">
        <v>233</v>
      </c>
      <c r="E137" s="8">
        <v>391.36</v>
      </c>
      <c r="F137" s="5" t="s">
        <v>10</v>
      </c>
      <c r="G137" s="2" t="s">
        <v>23</v>
      </c>
    </row>
    <row r="138" spans="1:12" x14ac:dyDescent="0.2">
      <c r="A138" s="11">
        <v>126</v>
      </c>
      <c r="B138" s="5" t="s">
        <v>341</v>
      </c>
      <c r="C138" s="11">
        <v>78969071801</v>
      </c>
      <c r="D138" s="5" t="s">
        <v>342</v>
      </c>
      <c r="E138" s="8">
        <f>1791.97+121.28</f>
        <v>1913.25</v>
      </c>
      <c r="F138" s="5" t="s">
        <v>10</v>
      </c>
      <c r="G138" s="2" t="s">
        <v>23</v>
      </c>
      <c r="J138" s="13"/>
    </row>
    <row r="139" spans="1:12" x14ac:dyDescent="0.2">
      <c r="A139" s="11">
        <v>127</v>
      </c>
      <c r="B139" s="5" t="s">
        <v>690</v>
      </c>
      <c r="C139" s="12">
        <v>56717147376</v>
      </c>
      <c r="D139" s="5" t="s">
        <v>547</v>
      </c>
      <c r="E139" s="8">
        <f>1975.71+1193.29</f>
        <v>3169</v>
      </c>
      <c r="F139" s="5" t="s">
        <v>10</v>
      </c>
      <c r="G139" s="2" t="s">
        <v>23</v>
      </c>
    </row>
    <row r="140" spans="1:12" x14ac:dyDescent="0.2">
      <c r="A140" s="11">
        <v>128</v>
      </c>
      <c r="B140" s="5" t="s">
        <v>347</v>
      </c>
      <c r="C140" s="11">
        <v>51892779522</v>
      </c>
      <c r="D140" s="5" t="s">
        <v>348</v>
      </c>
      <c r="E140" s="8">
        <v>3125</v>
      </c>
      <c r="F140" s="5" t="s">
        <v>10</v>
      </c>
      <c r="G140" s="2" t="s">
        <v>23</v>
      </c>
      <c r="L140" s="21"/>
    </row>
    <row r="141" spans="1:12" x14ac:dyDescent="0.2">
      <c r="A141" s="11">
        <v>129</v>
      </c>
      <c r="B141" s="5" t="s">
        <v>432</v>
      </c>
      <c r="C141" s="11">
        <v>48633701387</v>
      </c>
      <c r="D141" s="5" t="s">
        <v>433</v>
      </c>
      <c r="E141" s="8">
        <v>13.7</v>
      </c>
      <c r="F141" s="5" t="s">
        <v>10</v>
      </c>
      <c r="G141" s="2" t="s">
        <v>23</v>
      </c>
    </row>
    <row r="142" spans="1:12" x14ac:dyDescent="0.2">
      <c r="A142" s="11">
        <v>130</v>
      </c>
      <c r="B142" s="5" t="s">
        <v>1273</v>
      </c>
      <c r="C142" s="11">
        <v>38453826849</v>
      </c>
      <c r="D142" s="5" t="s">
        <v>1274</v>
      </c>
      <c r="E142" s="8">
        <v>1700.63</v>
      </c>
      <c r="F142" s="5" t="s">
        <v>10</v>
      </c>
      <c r="G142" s="2" t="s">
        <v>23</v>
      </c>
    </row>
    <row r="143" spans="1:12" x14ac:dyDescent="0.2">
      <c r="A143" s="11">
        <v>131</v>
      </c>
      <c r="B143" s="5" t="s">
        <v>374</v>
      </c>
      <c r="C143" s="11">
        <v>48249084626</v>
      </c>
      <c r="D143" s="5" t="s">
        <v>375</v>
      </c>
      <c r="E143" s="8">
        <f>4618.96+141.46+157.09</f>
        <v>4917.51</v>
      </c>
      <c r="F143" s="5" t="s">
        <v>10</v>
      </c>
      <c r="G143" s="2" t="s">
        <v>23</v>
      </c>
    </row>
    <row r="144" spans="1:12" x14ac:dyDescent="0.2">
      <c r="A144" s="11">
        <v>132</v>
      </c>
      <c r="B144" s="5" t="s">
        <v>376</v>
      </c>
      <c r="C144" s="11">
        <v>26901839603</v>
      </c>
      <c r="D144" s="5" t="s">
        <v>377</v>
      </c>
      <c r="E144" s="8">
        <f>1258.38+768.58+488.18</f>
        <v>2515.14</v>
      </c>
      <c r="F144" s="5" t="s">
        <v>10</v>
      </c>
      <c r="G144" s="2" t="s">
        <v>23</v>
      </c>
    </row>
    <row r="145" spans="1:7" x14ac:dyDescent="0.2">
      <c r="A145" s="11">
        <v>133</v>
      </c>
      <c r="B145" s="5" t="s">
        <v>372</v>
      </c>
      <c r="C145" s="11">
        <v>64021574271</v>
      </c>
      <c r="D145" s="5" t="s">
        <v>373</v>
      </c>
      <c r="E145" s="8">
        <f>522.36+32.63</f>
        <v>554.99</v>
      </c>
      <c r="F145" s="5" t="s">
        <v>10</v>
      </c>
      <c r="G145" s="2" t="s">
        <v>23</v>
      </c>
    </row>
    <row r="146" spans="1:7" x14ac:dyDescent="0.2">
      <c r="A146" s="11">
        <v>134</v>
      </c>
      <c r="B146" s="5" t="s">
        <v>386</v>
      </c>
      <c r="C146" s="11">
        <v>60365429880</v>
      </c>
      <c r="D146" s="5" t="s">
        <v>387</v>
      </c>
      <c r="E146" s="8">
        <f>121.24+369.8</f>
        <v>491.04</v>
      </c>
      <c r="F146" s="5" t="s">
        <v>10</v>
      </c>
      <c r="G146" s="2" t="s">
        <v>23</v>
      </c>
    </row>
    <row r="147" spans="1:7" x14ac:dyDescent="0.2">
      <c r="A147" s="11">
        <v>135</v>
      </c>
      <c r="B147" s="5" t="s">
        <v>391</v>
      </c>
      <c r="C147" s="11">
        <v>37879152548</v>
      </c>
      <c r="D147" s="5" t="s">
        <v>392</v>
      </c>
      <c r="E147" s="8">
        <f>1178.24+606</f>
        <v>1784.24</v>
      </c>
      <c r="F147" s="5" t="s">
        <v>10</v>
      </c>
      <c r="G147" s="2" t="s">
        <v>23</v>
      </c>
    </row>
    <row r="148" spans="1:7" x14ac:dyDescent="0.2">
      <c r="A148" s="11">
        <v>136</v>
      </c>
      <c r="B148" s="5" t="s">
        <v>459</v>
      </c>
      <c r="C148" s="11">
        <v>64008199572</v>
      </c>
      <c r="D148" s="5" t="s">
        <v>460</v>
      </c>
      <c r="E148" s="8">
        <f>711.48+478.75+234.5</f>
        <v>1424.73</v>
      </c>
      <c r="F148" s="5" t="s">
        <v>10</v>
      </c>
      <c r="G148" s="2" t="s">
        <v>23</v>
      </c>
    </row>
    <row r="149" spans="1:7" x14ac:dyDescent="0.2">
      <c r="A149" s="11">
        <v>137</v>
      </c>
      <c r="B149" s="5" t="s">
        <v>395</v>
      </c>
      <c r="C149" s="11">
        <v>39048902955</v>
      </c>
      <c r="D149" s="5" t="s">
        <v>396</v>
      </c>
      <c r="E149" s="8">
        <v>671.03</v>
      </c>
      <c r="F149" s="5" t="s">
        <v>10</v>
      </c>
      <c r="G149" s="2" t="s">
        <v>64</v>
      </c>
    </row>
    <row r="150" spans="1:7" x14ac:dyDescent="0.2">
      <c r="A150" s="11">
        <v>138</v>
      </c>
      <c r="B150" s="5" t="s">
        <v>397</v>
      </c>
      <c r="C150" s="11">
        <v>85375838060</v>
      </c>
      <c r="D150" s="5" t="s">
        <v>398</v>
      </c>
      <c r="E150" s="8">
        <f>28.55+285.5+71.38</f>
        <v>385.43</v>
      </c>
      <c r="F150" s="5" t="s">
        <v>10</v>
      </c>
      <c r="G150" s="2" t="s">
        <v>64</v>
      </c>
    </row>
    <row r="151" spans="1:7" x14ac:dyDescent="0.2">
      <c r="A151" s="11">
        <v>139</v>
      </c>
      <c r="B151" s="5" t="s">
        <v>401</v>
      </c>
      <c r="C151" s="11">
        <v>55614719992</v>
      </c>
      <c r="D151" s="5" t="s">
        <v>402</v>
      </c>
      <c r="E151" s="8">
        <f>353.54+790.61+158.13+338.06</f>
        <v>1640.3400000000001</v>
      </c>
      <c r="F151" s="5" t="s">
        <v>10</v>
      </c>
      <c r="G151" s="2" t="s">
        <v>23</v>
      </c>
    </row>
    <row r="152" spans="1:7" x14ac:dyDescent="0.2">
      <c r="A152" s="11">
        <v>140</v>
      </c>
      <c r="B152" s="5" t="s">
        <v>403</v>
      </c>
      <c r="C152" s="11">
        <v>95325472047</v>
      </c>
      <c r="D152" s="5" t="s">
        <v>404</v>
      </c>
      <c r="E152" s="8">
        <v>818.33</v>
      </c>
      <c r="F152" s="5" t="s">
        <v>10</v>
      </c>
      <c r="G152" s="2" t="s">
        <v>23</v>
      </c>
    </row>
    <row r="153" spans="1:7" x14ac:dyDescent="0.2">
      <c r="A153" s="11">
        <v>141</v>
      </c>
      <c r="B153" s="5" t="s">
        <v>499</v>
      </c>
      <c r="C153" s="11">
        <v>50467974870</v>
      </c>
      <c r="D153" s="5" t="s">
        <v>500</v>
      </c>
      <c r="E153" s="8">
        <f>376.86+234</f>
        <v>610.86</v>
      </c>
      <c r="F153" s="5" t="s">
        <v>10</v>
      </c>
      <c r="G153" s="2" t="s">
        <v>23</v>
      </c>
    </row>
    <row r="154" spans="1:7" x14ac:dyDescent="0.2">
      <c r="A154" s="11">
        <v>142</v>
      </c>
      <c r="B154" s="5" t="s">
        <v>355</v>
      </c>
      <c r="C154" s="11">
        <v>25577810707</v>
      </c>
      <c r="D154" s="5" t="s">
        <v>356</v>
      </c>
      <c r="E154" s="8">
        <v>25.97</v>
      </c>
      <c r="F154" s="5" t="s">
        <v>10</v>
      </c>
      <c r="G154" s="2" t="s">
        <v>23</v>
      </c>
    </row>
    <row r="155" spans="1:7" x14ac:dyDescent="0.2">
      <c r="A155" s="11">
        <v>143</v>
      </c>
      <c r="B155" s="5" t="s">
        <v>411</v>
      </c>
      <c r="C155" s="11">
        <v>110752628</v>
      </c>
      <c r="D155" s="5" t="s">
        <v>414</v>
      </c>
      <c r="E155" s="8">
        <f>497.8+1031.24</f>
        <v>1529.04</v>
      </c>
      <c r="F155" s="5" t="s">
        <v>10</v>
      </c>
      <c r="G155" s="2" t="s">
        <v>23</v>
      </c>
    </row>
    <row r="156" spans="1:7" x14ac:dyDescent="0.2">
      <c r="A156" s="11">
        <v>144</v>
      </c>
      <c r="B156" s="5" t="s">
        <v>517</v>
      </c>
      <c r="C156" s="11">
        <v>79378753915</v>
      </c>
      <c r="D156" s="5" t="s">
        <v>518</v>
      </c>
      <c r="E156" s="8">
        <v>1579.5</v>
      </c>
      <c r="F156" s="5" t="s">
        <v>10</v>
      </c>
      <c r="G156" s="2" t="s">
        <v>23</v>
      </c>
    </row>
    <row r="157" spans="1:7" x14ac:dyDescent="0.2">
      <c r="A157" s="11">
        <v>145</v>
      </c>
      <c r="B157" s="5" t="s">
        <v>267</v>
      </c>
      <c r="C157" s="12" t="s">
        <v>269</v>
      </c>
      <c r="D157" s="5" t="s">
        <v>268</v>
      </c>
      <c r="E157" s="8">
        <v>7000</v>
      </c>
      <c r="F157" s="5" t="s">
        <v>10</v>
      </c>
      <c r="G157" s="2" t="s">
        <v>23</v>
      </c>
    </row>
    <row r="158" spans="1:7" x14ac:dyDescent="0.2">
      <c r="A158" s="11">
        <v>146</v>
      </c>
      <c r="B158" s="5" t="s">
        <v>665</v>
      </c>
      <c r="C158" s="11" t="s">
        <v>667</v>
      </c>
      <c r="D158" s="5" t="s">
        <v>666</v>
      </c>
      <c r="E158" s="8">
        <f>3639.72+1012+1000+1000+156.78</f>
        <v>6808.4999999999991</v>
      </c>
      <c r="F158" s="5" t="s">
        <v>10</v>
      </c>
      <c r="G158" s="2" t="s">
        <v>23</v>
      </c>
    </row>
    <row r="159" spans="1:7" x14ac:dyDescent="0.2">
      <c r="A159" s="11">
        <v>147</v>
      </c>
      <c r="B159" s="5" t="s">
        <v>1192</v>
      </c>
      <c r="C159" s="11">
        <v>14273924910</v>
      </c>
      <c r="D159" s="5" t="s">
        <v>228</v>
      </c>
      <c r="E159" s="8">
        <v>483.75</v>
      </c>
      <c r="F159" s="5" t="s">
        <v>10</v>
      </c>
      <c r="G159" s="2" t="s">
        <v>176</v>
      </c>
    </row>
    <row r="160" spans="1:7" x14ac:dyDescent="0.2">
      <c r="A160" s="11">
        <v>148</v>
      </c>
      <c r="B160" s="5" t="s">
        <v>407</v>
      </c>
      <c r="C160" s="11">
        <v>89027343720</v>
      </c>
      <c r="D160" s="5" t="s">
        <v>408</v>
      </c>
      <c r="E160" s="8">
        <f>458.13+1354.13+172.25</f>
        <v>1984.5100000000002</v>
      </c>
      <c r="F160" s="5" t="s">
        <v>10</v>
      </c>
      <c r="G160" s="2" t="s">
        <v>23</v>
      </c>
    </row>
    <row r="161" spans="1:7" x14ac:dyDescent="0.2">
      <c r="A161" s="11">
        <v>149</v>
      </c>
      <c r="B161" s="5" t="s">
        <v>439</v>
      </c>
      <c r="C161" s="11">
        <v>48841983787</v>
      </c>
      <c r="D161" s="5" t="s">
        <v>440</v>
      </c>
      <c r="E161" s="8">
        <f>787.5+56.25+556.25+1825</f>
        <v>3225</v>
      </c>
      <c r="F161" s="5" t="s">
        <v>10</v>
      </c>
      <c r="G161" s="2" t="s">
        <v>23</v>
      </c>
    </row>
    <row r="162" spans="1:7" x14ac:dyDescent="0.2">
      <c r="A162" s="11">
        <v>150</v>
      </c>
      <c r="B162" s="5" t="s">
        <v>661</v>
      </c>
      <c r="C162" s="11">
        <v>28370392421</v>
      </c>
      <c r="D162" s="5" t="s">
        <v>660</v>
      </c>
      <c r="E162" s="8">
        <v>242.01</v>
      </c>
      <c r="F162" s="5" t="s">
        <v>10</v>
      </c>
      <c r="G162" s="2" t="s">
        <v>662</v>
      </c>
    </row>
    <row r="163" spans="1:7" x14ac:dyDescent="0.2">
      <c r="A163" s="11">
        <v>151</v>
      </c>
      <c r="B163" s="5" t="s">
        <v>573</v>
      </c>
      <c r="C163" s="11">
        <v>56862872842</v>
      </c>
      <c r="D163" s="5" t="s">
        <v>594</v>
      </c>
      <c r="E163" s="8">
        <f>125+121.13</f>
        <v>246.13</v>
      </c>
      <c r="F163" s="5" t="s">
        <v>10</v>
      </c>
      <c r="G163" s="2" t="s">
        <v>23</v>
      </c>
    </row>
    <row r="164" spans="1:7" x14ac:dyDescent="0.2">
      <c r="A164" s="11">
        <v>152</v>
      </c>
      <c r="B164" s="5" t="s">
        <v>135</v>
      </c>
      <c r="C164" s="11">
        <v>38812451417</v>
      </c>
      <c r="D164" s="5" t="s">
        <v>198</v>
      </c>
      <c r="E164" s="8">
        <f>277.72+399.08</f>
        <v>676.8</v>
      </c>
      <c r="F164" s="5" t="s">
        <v>10</v>
      </c>
      <c r="G164" s="2" t="s">
        <v>112</v>
      </c>
    </row>
    <row r="165" spans="1:7" x14ac:dyDescent="0.2">
      <c r="A165" s="11">
        <v>153</v>
      </c>
      <c r="B165" s="5" t="s">
        <v>137</v>
      </c>
      <c r="C165" s="12" t="s">
        <v>200</v>
      </c>
      <c r="D165" s="5" t="s">
        <v>201</v>
      </c>
      <c r="E165" s="8">
        <v>333.41</v>
      </c>
      <c r="F165" s="5" t="s">
        <v>10</v>
      </c>
      <c r="G165" s="2" t="s">
        <v>112</v>
      </c>
    </row>
    <row r="166" spans="1:7" x14ac:dyDescent="0.2">
      <c r="A166" s="11">
        <v>154</v>
      </c>
      <c r="B166" s="19" t="s">
        <v>473</v>
      </c>
      <c r="C166" s="36">
        <v>92839607312</v>
      </c>
      <c r="D166" s="19" t="s">
        <v>474</v>
      </c>
      <c r="E166" s="15">
        <f>945.31+997.63</f>
        <v>1942.94</v>
      </c>
      <c r="F166" s="19" t="s">
        <v>10</v>
      </c>
      <c r="G166" s="28" t="s">
        <v>23</v>
      </c>
    </row>
    <row r="167" spans="1:7" x14ac:dyDescent="0.2">
      <c r="A167" s="11">
        <v>155</v>
      </c>
      <c r="B167" s="44" t="s">
        <v>873</v>
      </c>
      <c r="C167" s="45" t="s">
        <v>874</v>
      </c>
      <c r="D167" s="44" t="s">
        <v>875</v>
      </c>
      <c r="E167" s="8">
        <v>5574</v>
      </c>
      <c r="F167" s="5" t="s">
        <v>10</v>
      </c>
      <c r="G167" s="2" t="s">
        <v>147</v>
      </c>
    </row>
    <row r="168" spans="1:7" x14ac:dyDescent="0.2">
      <c r="A168" s="11">
        <v>156</v>
      </c>
      <c r="B168" s="5" t="s">
        <v>1277</v>
      </c>
      <c r="C168" s="11">
        <v>92712381028</v>
      </c>
      <c r="D168" s="5" t="s">
        <v>1278</v>
      </c>
      <c r="E168" s="8">
        <v>139.13</v>
      </c>
      <c r="F168" s="5" t="s">
        <v>10</v>
      </c>
      <c r="G168" s="2" t="s">
        <v>23</v>
      </c>
    </row>
    <row r="169" spans="1:7" x14ac:dyDescent="0.2">
      <c r="A169" s="11">
        <v>157</v>
      </c>
      <c r="B169" s="5" t="s">
        <v>724</v>
      </c>
      <c r="C169" s="11">
        <v>97304721774</v>
      </c>
      <c r="D169" s="5" t="s">
        <v>725</v>
      </c>
      <c r="E169" s="8">
        <f>4465+1625</f>
        <v>6090</v>
      </c>
      <c r="F169" s="5" t="s">
        <v>10</v>
      </c>
      <c r="G169" s="2" t="s">
        <v>23</v>
      </c>
    </row>
    <row r="170" spans="1:7" x14ac:dyDescent="0.2">
      <c r="A170" s="11">
        <v>158</v>
      </c>
      <c r="B170" s="5" t="s">
        <v>680</v>
      </c>
      <c r="C170" s="11">
        <v>82510351433</v>
      </c>
      <c r="D170" s="5" t="s">
        <v>681</v>
      </c>
      <c r="E170" s="8">
        <v>263.3</v>
      </c>
      <c r="F170" s="5" t="s">
        <v>10</v>
      </c>
      <c r="G170" s="2" t="s">
        <v>23</v>
      </c>
    </row>
    <row r="171" spans="1:7" x14ac:dyDescent="0.2">
      <c r="A171" s="11">
        <v>159</v>
      </c>
      <c r="B171" s="5" t="s">
        <v>471</v>
      </c>
      <c r="C171" s="11">
        <v>54661026138</v>
      </c>
      <c r="D171" s="5" t="s">
        <v>472</v>
      </c>
      <c r="E171" s="8">
        <f>855.4+46.39+303.1+1000+278.59</f>
        <v>2483.48</v>
      </c>
      <c r="F171" s="5" t="s">
        <v>10</v>
      </c>
      <c r="G171" s="2" t="s">
        <v>23</v>
      </c>
    </row>
    <row r="172" spans="1:7" x14ac:dyDescent="0.2">
      <c r="A172" s="11">
        <v>160</v>
      </c>
      <c r="B172" s="5" t="s">
        <v>1284</v>
      </c>
      <c r="C172" s="11" t="s">
        <v>1285</v>
      </c>
      <c r="D172" s="5" t="s">
        <v>1286</v>
      </c>
      <c r="E172" s="8">
        <v>2050</v>
      </c>
      <c r="F172" s="5" t="s">
        <v>10</v>
      </c>
      <c r="G172" s="2" t="s">
        <v>23</v>
      </c>
    </row>
    <row r="173" spans="1:7" x14ac:dyDescent="0.2">
      <c r="A173" s="11">
        <v>161</v>
      </c>
      <c r="B173" s="5" t="s">
        <v>382</v>
      </c>
      <c r="C173" s="11">
        <v>76080865307</v>
      </c>
      <c r="D173" s="5" t="s">
        <v>383</v>
      </c>
      <c r="E173" s="8">
        <v>41.36</v>
      </c>
      <c r="F173" s="5" t="s">
        <v>10</v>
      </c>
      <c r="G173" s="2" t="s">
        <v>287</v>
      </c>
    </row>
    <row r="174" spans="1:7" x14ac:dyDescent="0.2">
      <c r="A174" s="11">
        <v>162</v>
      </c>
      <c r="B174" s="5" t="s">
        <v>332</v>
      </c>
      <c r="C174" s="12" t="s">
        <v>334</v>
      </c>
      <c r="D174" s="5" t="s">
        <v>333</v>
      </c>
      <c r="E174" s="8">
        <f>53.78+71.92</f>
        <v>125.7</v>
      </c>
      <c r="F174" s="5" t="s">
        <v>10</v>
      </c>
      <c r="G174" s="2" t="s">
        <v>330</v>
      </c>
    </row>
    <row r="175" spans="1:7" x14ac:dyDescent="0.2">
      <c r="A175" s="11">
        <v>163</v>
      </c>
      <c r="B175" s="5" t="s">
        <v>970</v>
      </c>
      <c r="C175" s="12">
        <v>54655542852</v>
      </c>
      <c r="D175" s="5" t="s">
        <v>971</v>
      </c>
      <c r="E175" s="8">
        <f>75+143.75</f>
        <v>218.75</v>
      </c>
      <c r="F175" s="5" t="s">
        <v>10</v>
      </c>
      <c r="G175" s="2" t="s">
        <v>243</v>
      </c>
    </row>
    <row r="176" spans="1:7" x14ac:dyDescent="0.2">
      <c r="A176" s="11">
        <v>164</v>
      </c>
      <c r="B176" s="5" t="s">
        <v>461</v>
      </c>
      <c r="C176" s="11">
        <v>83157399243</v>
      </c>
      <c r="D176" s="5" t="s">
        <v>462</v>
      </c>
      <c r="E176" s="8">
        <f>891.25+50</f>
        <v>941.25</v>
      </c>
      <c r="F176" s="5" t="s">
        <v>10</v>
      </c>
      <c r="G176" s="2" t="s">
        <v>23</v>
      </c>
    </row>
    <row r="177" spans="1:7" x14ac:dyDescent="0.2">
      <c r="A177" s="11">
        <v>165</v>
      </c>
      <c r="B177" s="5" t="s">
        <v>507</v>
      </c>
      <c r="C177" s="11">
        <v>94505281348</v>
      </c>
      <c r="D177" s="5" t="s">
        <v>509</v>
      </c>
      <c r="E177" s="8">
        <f>157.5*2</f>
        <v>315</v>
      </c>
      <c r="F177" s="5" t="s">
        <v>10</v>
      </c>
      <c r="G177" s="2" t="s">
        <v>287</v>
      </c>
    </row>
    <row r="178" spans="1:7" x14ac:dyDescent="0.2">
      <c r="A178" s="11">
        <v>166</v>
      </c>
      <c r="B178" s="5" t="s">
        <v>270</v>
      </c>
      <c r="C178" s="11">
        <v>31174430130</v>
      </c>
      <c r="D178" s="5" t="s">
        <v>271</v>
      </c>
      <c r="E178" s="8">
        <f>395.66+268.27</f>
        <v>663.93000000000006</v>
      </c>
      <c r="F178" s="5" t="s">
        <v>10</v>
      </c>
      <c r="G178" s="2" t="s">
        <v>112</v>
      </c>
    </row>
    <row r="179" spans="1:7" x14ac:dyDescent="0.2">
      <c r="A179" s="11">
        <v>167</v>
      </c>
      <c r="B179" s="5" t="s">
        <v>555</v>
      </c>
      <c r="C179" s="11">
        <v>56733014701</v>
      </c>
      <c r="D179" s="5" t="s">
        <v>556</v>
      </c>
      <c r="E179" s="8">
        <v>2634</v>
      </c>
      <c r="F179" s="5" t="s">
        <v>10</v>
      </c>
      <c r="G179" s="2" t="s">
        <v>23</v>
      </c>
    </row>
    <row r="180" spans="1:7" x14ac:dyDescent="0.2">
      <c r="A180" s="11">
        <v>168</v>
      </c>
      <c r="B180" s="5" t="s">
        <v>136</v>
      </c>
      <c r="C180" s="11">
        <v>70467048139</v>
      </c>
      <c r="D180" s="5" t="s">
        <v>199</v>
      </c>
      <c r="E180" s="8">
        <v>28.97</v>
      </c>
      <c r="F180" s="5" t="s">
        <v>10</v>
      </c>
      <c r="G180" s="2" t="s">
        <v>112</v>
      </c>
    </row>
    <row r="181" spans="1:7" x14ac:dyDescent="0.2">
      <c r="A181" s="11">
        <v>169</v>
      </c>
      <c r="B181" s="5" t="s">
        <v>910</v>
      </c>
      <c r="C181" s="11">
        <v>10613092990</v>
      </c>
      <c r="D181" s="5" t="s">
        <v>911</v>
      </c>
      <c r="E181" s="8">
        <v>1412</v>
      </c>
      <c r="F181" s="5" t="s">
        <v>10</v>
      </c>
      <c r="G181" s="2" t="s">
        <v>23</v>
      </c>
    </row>
    <row r="182" spans="1:7" x14ac:dyDescent="0.2">
      <c r="A182" s="11">
        <v>170</v>
      </c>
      <c r="B182" s="5" t="s">
        <v>846</v>
      </c>
      <c r="C182" s="11">
        <v>51469557335</v>
      </c>
      <c r="D182" s="5" t="s">
        <v>847</v>
      </c>
      <c r="E182" s="8">
        <v>105.26</v>
      </c>
      <c r="F182" s="5" t="s">
        <v>10</v>
      </c>
      <c r="G182" s="2" t="s">
        <v>23</v>
      </c>
    </row>
    <row r="183" spans="1:7" x14ac:dyDescent="0.2">
      <c r="A183" s="11">
        <v>171</v>
      </c>
      <c r="B183" s="5" t="s">
        <v>139</v>
      </c>
      <c r="C183" s="11">
        <v>26211106548</v>
      </c>
      <c r="D183" s="5" t="s">
        <v>141</v>
      </c>
      <c r="E183" s="8">
        <f>140.02+16.5</f>
        <v>156.52000000000001</v>
      </c>
      <c r="F183" s="5" t="s">
        <v>10</v>
      </c>
      <c r="G183" s="2" t="s">
        <v>112</v>
      </c>
    </row>
    <row r="184" spans="1:7" x14ac:dyDescent="0.2">
      <c r="A184" s="11">
        <v>172</v>
      </c>
      <c r="B184" s="5" t="s">
        <v>1025</v>
      </c>
      <c r="C184" s="11" t="s">
        <v>1026</v>
      </c>
      <c r="D184" s="5" t="s">
        <v>1027</v>
      </c>
      <c r="E184" s="8">
        <f>1100+2200</f>
        <v>3300</v>
      </c>
      <c r="F184" s="5" t="s">
        <v>10</v>
      </c>
      <c r="G184" s="2" t="s">
        <v>23</v>
      </c>
    </row>
    <row r="185" spans="1:7" x14ac:dyDescent="0.2">
      <c r="A185" s="11">
        <v>173</v>
      </c>
      <c r="B185" s="5" t="s">
        <v>1316</v>
      </c>
      <c r="C185" s="11">
        <v>86648038250</v>
      </c>
      <c r="D185" s="5" t="s">
        <v>961</v>
      </c>
      <c r="E185" s="8">
        <v>81.25</v>
      </c>
      <c r="F185" s="5" t="s">
        <v>10</v>
      </c>
      <c r="G185" s="2" t="s">
        <v>118</v>
      </c>
    </row>
    <row r="186" spans="1:7" x14ac:dyDescent="0.2">
      <c r="A186" s="11">
        <v>174</v>
      </c>
      <c r="B186" s="5" t="s">
        <v>1319</v>
      </c>
      <c r="C186" s="11">
        <v>15429488788</v>
      </c>
      <c r="D186" s="5" t="s">
        <v>126</v>
      </c>
      <c r="E186" s="8">
        <v>961</v>
      </c>
      <c r="F186" s="5" t="s">
        <v>10</v>
      </c>
      <c r="G186" s="2" t="s">
        <v>62</v>
      </c>
    </row>
    <row r="187" spans="1:7" x14ac:dyDescent="0.2">
      <c r="A187" s="11">
        <v>175</v>
      </c>
      <c r="B187" s="5" t="s">
        <v>463</v>
      </c>
      <c r="C187" s="11" t="s">
        <v>464</v>
      </c>
      <c r="D187" s="5" t="s">
        <v>876</v>
      </c>
      <c r="E187" s="8">
        <v>213.78</v>
      </c>
      <c r="F187" s="5" t="s">
        <v>10</v>
      </c>
      <c r="G187" s="2" t="s">
        <v>23</v>
      </c>
    </row>
    <row r="188" spans="1:7" x14ac:dyDescent="0.2">
      <c r="A188" s="11">
        <v>176</v>
      </c>
      <c r="B188" s="5" t="s">
        <v>571</v>
      </c>
      <c r="C188" s="11">
        <v>75202805533</v>
      </c>
      <c r="D188" s="5" t="s">
        <v>588</v>
      </c>
      <c r="E188" s="8">
        <v>274.31</v>
      </c>
      <c r="F188" s="5" t="s">
        <v>10</v>
      </c>
      <c r="G188" s="2" t="s">
        <v>23</v>
      </c>
    </row>
    <row r="189" spans="1:7" x14ac:dyDescent="0.2">
      <c r="A189" s="11">
        <v>177</v>
      </c>
      <c r="B189" s="5" t="s">
        <v>817</v>
      </c>
      <c r="C189" s="11">
        <v>41333730825</v>
      </c>
      <c r="D189" s="5" t="s">
        <v>818</v>
      </c>
      <c r="E189" s="8">
        <v>1362.5</v>
      </c>
      <c r="F189" s="5" t="s">
        <v>10</v>
      </c>
      <c r="G189" s="2" t="s">
        <v>287</v>
      </c>
    </row>
    <row r="190" spans="1:7" x14ac:dyDescent="0.2">
      <c r="A190" s="11">
        <v>178</v>
      </c>
      <c r="B190" s="5" t="s">
        <v>345</v>
      </c>
      <c r="C190" s="11">
        <v>47530485643</v>
      </c>
      <c r="D190" s="5" t="s">
        <v>346</v>
      </c>
      <c r="E190" s="8">
        <v>1045</v>
      </c>
      <c r="F190" s="5" t="s">
        <v>10</v>
      </c>
      <c r="G190" s="2" t="s">
        <v>23</v>
      </c>
    </row>
    <row r="191" spans="1:7" x14ac:dyDescent="0.2">
      <c r="A191" s="11">
        <v>179</v>
      </c>
      <c r="B191" s="5" t="s">
        <v>1345</v>
      </c>
      <c r="C191" s="11">
        <v>66734484850</v>
      </c>
      <c r="D191" s="5" t="s">
        <v>1346</v>
      </c>
      <c r="E191" s="8">
        <f>780+457.12</f>
        <v>1237.1199999999999</v>
      </c>
      <c r="F191" s="5" t="s">
        <v>10</v>
      </c>
      <c r="G191" s="2" t="s">
        <v>1328</v>
      </c>
    </row>
    <row r="192" spans="1:7" x14ac:dyDescent="0.2">
      <c r="A192" s="11">
        <v>180</v>
      </c>
      <c r="B192" s="5" t="s">
        <v>1347</v>
      </c>
      <c r="C192" s="12" t="s">
        <v>1348</v>
      </c>
      <c r="D192" s="5" t="s">
        <v>1349</v>
      </c>
      <c r="E192" s="8">
        <v>2591.88</v>
      </c>
      <c r="F192" s="5" t="s">
        <v>10</v>
      </c>
      <c r="G192" s="2" t="s">
        <v>23</v>
      </c>
    </row>
    <row r="193" spans="1:7" x14ac:dyDescent="0.2">
      <c r="A193" s="11">
        <v>181</v>
      </c>
      <c r="B193" s="5" t="s">
        <v>1350</v>
      </c>
      <c r="C193" s="12" t="s">
        <v>954</v>
      </c>
      <c r="D193" s="5" t="s">
        <v>1351</v>
      </c>
      <c r="E193" s="8">
        <v>55.74</v>
      </c>
      <c r="F193" s="5" t="s">
        <v>10</v>
      </c>
      <c r="G193" s="2" t="s">
        <v>502</v>
      </c>
    </row>
    <row r="194" spans="1:7" x14ac:dyDescent="0.2">
      <c r="A194" s="11">
        <v>182</v>
      </c>
      <c r="B194" s="5" t="s">
        <v>771</v>
      </c>
      <c r="C194" s="11">
        <v>92378435625</v>
      </c>
      <c r="D194" s="5" t="s">
        <v>772</v>
      </c>
      <c r="E194" s="8">
        <v>70</v>
      </c>
      <c r="F194" s="5" t="s">
        <v>10</v>
      </c>
      <c r="G194" s="2" t="s">
        <v>118</v>
      </c>
    </row>
    <row r="195" spans="1:7" x14ac:dyDescent="0.2">
      <c r="A195" s="11">
        <v>183</v>
      </c>
      <c r="B195" s="5" t="s">
        <v>893</v>
      </c>
      <c r="C195" s="11" t="s">
        <v>894</v>
      </c>
      <c r="D195" s="5" t="s">
        <v>895</v>
      </c>
      <c r="E195" s="8">
        <f>5225+319.5</f>
        <v>5544.5</v>
      </c>
      <c r="F195" s="5" t="s">
        <v>10</v>
      </c>
      <c r="G195" s="2" t="s">
        <v>23</v>
      </c>
    </row>
    <row r="196" spans="1:7" ht="12.75" thickBot="1" x14ac:dyDescent="0.25">
      <c r="A196" s="11">
        <v>184</v>
      </c>
      <c r="B196" s="19" t="s">
        <v>1312</v>
      </c>
      <c r="C196" s="36">
        <v>51448445544</v>
      </c>
      <c r="D196" s="19" t="s">
        <v>1313</v>
      </c>
      <c r="E196" s="15">
        <v>125</v>
      </c>
      <c r="F196" s="19" t="s">
        <v>10</v>
      </c>
      <c r="G196" s="28" t="s">
        <v>23</v>
      </c>
    </row>
    <row r="197" spans="1:7" x14ac:dyDescent="0.2">
      <c r="A197" s="84">
        <v>185</v>
      </c>
      <c r="B197" s="82" t="s">
        <v>60</v>
      </c>
      <c r="C197" s="84">
        <v>39901919995</v>
      </c>
      <c r="D197" s="82" t="s">
        <v>72</v>
      </c>
      <c r="E197" s="29">
        <f>2005.94+3149.5</f>
        <v>5155.4400000000005</v>
      </c>
      <c r="F197" s="82" t="s">
        <v>10</v>
      </c>
      <c r="G197" s="31" t="s">
        <v>63</v>
      </c>
    </row>
    <row r="198" spans="1:7" ht="12.75" thickBot="1" x14ac:dyDescent="0.25">
      <c r="A198" s="85"/>
      <c r="B198" s="83"/>
      <c r="C198" s="85"/>
      <c r="D198" s="83"/>
      <c r="E198" s="18">
        <v>1013.94</v>
      </c>
      <c r="F198" s="83"/>
      <c r="G198" s="32" t="s">
        <v>61</v>
      </c>
    </row>
    <row r="199" spans="1:7" x14ac:dyDescent="0.2">
      <c r="A199" s="37">
        <v>186</v>
      </c>
      <c r="B199" s="33" t="s">
        <v>56</v>
      </c>
      <c r="C199" s="37">
        <v>23308926345</v>
      </c>
      <c r="D199" s="33" t="s">
        <v>74</v>
      </c>
      <c r="E199" s="20">
        <v>207.31</v>
      </c>
      <c r="F199" s="33" t="s">
        <v>10</v>
      </c>
      <c r="G199" s="34" t="s">
        <v>55</v>
      </c>
    </row>
    <row r="200" spans="1:7" x14ac:dyDescent="0.2">
      <c r="A200" s="11">
        <v>187</v>
      </c>
      <c r="B200" s="5" t="s">
        <v>1352</v>
      </c>
      <c r="C200" s="11" t="s">
        <v>1353</v>
      </c>
      <c r="D200" s="5" t="s">
        <v>1354</v>
      </c>
      <c r="E200" s="8">
        <v>743.75</v>
      </c>
      <c r="F200" s="5" t="s">
        <v>10</v>
      </c>
      <c r="G200" s="2" t="s">
        <v>23</v>
      </c>
    </row>
    <row r="201" spans="1:7" x14ac:dyDescent="0.2">
      <c r="A201" s="11">
        <v>188</v>
      </c>
      <c r="B201" s="5" t="s">
        <v>454</v>
      </c>
      <c r="C201" s="11">
        <v>21748984734</v>
      </c>
      <c r="D201" s="5" t="s">
        <v>456</v>
      </c>
      <c r="E201" s="8">
        <v>162.5</v>
      </c>
      <c r="F201" s="5" t="s">
        <v>10</v>
      </c>
      <c r="G201" s="2" t="s">
        <v>455</v>
      </c>
    </row>
    <row r="202" spans="1:7" x14ac:dyDescent="0.2">
      <c r="A202" s="11">
        <v>189</v>
      </c>
      <c r="B202" s="5" t="s">
        <v>127</v>
      </c>
      <c r="C202" s="11">
        <v>28921383001</v>
      </c>
      <c r="D202" s="5" t="s">
        <v>129</v>
      </c>
      <c r="E202" s="8">
        <v>124.83</v>
      </c>
      <c r="F202" s="5" t="s">
        <v>10</v>
      </c>
      <c r="G202" s="2" t="s">
        <v>128</v>
      </c>
    </row>
    <row r="203" spans="1:7" x14ac:dyDescent="0.2">
      <c r="A203" s="11">
        <v>190</v>
      </c>
      <c r="B203" s="5" t="s">
        <v>581</v>
      </c>
      <c r="C203" s="11">
        <v>75332433655</v>
      </c>
      <c r="D203" s="5" t="s">
        <v>604</v>
      </c>
      <c r="E203" s="8">
        <v>368.75</v>
      </c>
      <c r="F203" s="5" t="s">
        <v>10</v>
      </c>
      <c r="G203" s="2" t="s">
        <v>23</v>
      </c>
    </row>
    <row r="204" spans="1:7" x14ac:dyDescent="0.2">
      <c r="A204" s="11">
        <v>191</v>
      </c>
      <c r="B204" s="5" t="s">
        <v>1355</v>
      </c>
      <c r="C204" s="12" t="s">
        <v>1356</v>
      </c>
      <c r="D204" s="5" t="s">
        <v>1357</v>
      </c>
      <c r="E204" s="8">
        <v>75.73</v>
      </c>
      <c r="F204" s="5" t="s">
        <v>10</v>
      </c>
      <c r="G204" s="2" t="s">
        <v>23</v>
      </c>
    </row>
    <row r="205" spans="1:7" x14ac:dyDescent="0.2">
      <c r="A205" s="11">
        <v>192</v>
      </c>
      <c r="B205" s="5" t="s">
        <v>501</v>
      </c>
      <c r="C205" s="11">
        <v>79506290597</v>
      </c>
      <c r="D205" s="5" t="s">
        <v>503</v>
      </c>
      <c r="E205" s="8">
        <v>160.28</v>
      </c>
      <c r="F205" s="5" t="s">
        <v>10</v>
      </c>
      <c r="G205" s="2" t="s">
        <v>502</v>
      </c>
    </row>
    <row r="206" spans="1:7" x14ac:dyDescent="0.2">
      <c r="A206" s="11">
        <v>193</v>
      </c>
      <c r="B206" s="5" t="s">
        <v>468</v>
      </c>
      <c r="C206" s="11" t="s">
        <v>470</v>
      </c>
      <c r="D206" s="5" t="s">
        <v>469</v>
      </c>
      <c r="E206" s="8">
        <v>6987</v>
      </c>
      <c r="F206" s="5" t="s">
        <v>10</v>
      </c>
      <c r="G206" s="2" t="s">
        <v>23</v>
      </c>
    </row>
    <row r="207" spans="1:7" x14ac:dyDescent="0.2">
      <c r="A207" s="11">
        <v>194</v>
      </c>
      <c r="B207" s="19" t="s">
        <v>357</v>
      </c>
      <c r="C207" s="36">
        <v>48805424054</v>
      </c>
      <c r="D207" s="19" t="s">
        <v>358</v>
      </c>
      <c r="E207" s="8">
        <v>52.26</v>
      </c>
      <c r="F207" s="5" t="s">
        <v>10</v>
      </c>
      <c r="G207" s="2" t="s">
        <v>330</v>
      </c>
    </row>
    <row r="208" spans="1:7" x14ac:dyDescent="0.2">
      <c r="A208" s="11">
        <v>195</v>
      </c>
      <c r="B208" s="5" t="s">
        <v>25</v>
      </c>
      <c r="C208" s="11">
        <v>73660371074</v>
      </c>
      <c r="D208" s="5" t="s">
        <v>38</v>
      </c>
      <c r="E208" s="8">
        <f>12.73+33.04</f>
        <v>45.769999999999996</v>
      </c>
      <c r="F208" s="5" t="s">
        <v>10</v>
      </c>
      <c r="G208" s="2" t="s">
        <v>23</v>
      </c>
    </row>
    <row r="209" spans="1:7" x14ac:dyDescent="0.2">
      <c r="A209" s="11">
        <v>196</v>
      </c>
      <c r="B209" s="5" t="s">
        <v>630</v>
      </c>
      <c r="C209" s="11">
        <v>68372221964</v>
      </c>
      <c r="D209" s="5" t="s">
        <v>631</v>
      </c>
      <c r="E209" s="8">
        <v>83.32</v>
      </c>
      <c r="F209" s="5" t="s">
        <v>10</v>
      </c>
      <c r="G209" s="2" t="s">
        <v>23</v>
      </c>
    </row>
    <row r="210" spans="1:7" x14ac:dyDescent="0.2">
      <c r="A210" s="11">
        <v>197</v>
      </c>
      <c r="B210" s="5" t="s">
        <v>576</v>
      </c>
      <c r="C210" s="11">
        <v>77802735473</v>
      </c>
      <c r="D210" s="5" t="s">
        <v>595</v>
      </c>
      <c r="E210" s="8">
        <v>110.93</v>
      </c>
      <c r="F210" s="5" t="s">
        <v>10</v>
      </c>
      <c r="G210" s="2" t="s">
        <v>23</v>
      </c>
    </row>
    <row r="211" spans="1:7" x14ac:dyDescent="0.2">
      <c r="A211" s="11">
        <v>198</v>
      </c>
      <c r="B211" s="5" t="s">
        <v>1358</v>
      </c>
      <c r="C211" s="11">
        <v>25444746329</v>
      </c>
      <c r="D211" s="5" t="s">
        <v>1359</v>
      </c>
      <c r="E211" s="8">
        <v>2090.5100000000002</v>
      </c>
      <c r="F211" s="5" t="s">
        <v>10</v>
      </c>
      <c r="G211" s="2" t="s">
        <v>287</v>
      </c>
    </row>
    <row r="212" spans="1:7" x14ac:dyDescent="0.2">
      <c r="A212" s="11">
        <v>199</v>
      </c>
      <c r="B212" s="5" t="s">
        <v>1360</v>
      </c>
      <c r="C212" s="11">
        <v>36365310424</v>
      </c>
      <c r="D212" s="5" t="s">
        <v>1303</v>
      </c>
      <c r="E212" s="8">
        <v>196.38</v>
      </c>
      <c r="F212" s="5" t="s">
        <v>10</v>
      </c>
      <c r="G212" s="2" t="s">
        <v>23</v>
      </c>
    </row>
    <row r="213" spans="1:7" x14ac:dyDescent="0.2">
      <c r="A213" s="11">
        <v>200</v>
      </c>
      <c r="B213" s="5" t="s">
        <v>1361</v>
      </c>
      <c r="C213" s="11">
        <v>40343790595</v>
      </c>
      <c r="D213" s="5" t="s">
        <v>1362</v>
      </c>
      <c r="E213" s="8">
        <v>561</v>
      </c>
      <c r="F213" s="5" t="s">
        <v>10</v>
      </c>
      <c r="G213" s="2" t="s">
        <v>23</v>
      </c>
    </row>
    <row r="214" spans="1:7" x14ac:dyDescent="0.2">
      <c r="A214" s="11">
        <v>201</v>
      </c>
      <c r="B214" s="5" t="s">
        <v>884</v>
      </c>
      <c r="C214" s="11">
        <v>33956120458</v>
      </c>
      <c r="D214" s="5" t="s">
        <v>885</v>
      </c>
      <c r="E214" s="8">
        <v>32.590000000000003</v>
      </c>
      <c r="F214" s="5" t="s">
        <v>10</v>
      </c>
      <c r="G214" s="2" t="s">
        <v>23</v>
      </c>
    </row>
    <row r="215" spans="1:7" x14ac:dyDescent="0.2">
      <c r="A215" s="11">
        <v>202</v>
      </c>
      <c r="B215" s="5" t="s">
        <v>1363</v>
      </c>
      <c r="C215" s="11">
        <v>15280395422</v>
      </c>
      <c r="D215" s="5" t="s">
        <v>1364</v>
      </c>
      <c r="E215" s="8">
        <v>12.2</v>
      </c>
      <c r="F215" s="5" t="s">
        <v>10</v>
      </c>
      <c r="G215" s="2" t="s">
        <v>287</v>
      </c>
    </row>
    <row r="216" spans="1:7" x14ac:dyDescent="0.2">
      <c r="A216" s="11">
        <v>203</v>
      </c>
      <c r="B216" s="5" t="s">
        <v>947</v>
      </c>
      <c r="C216" s="11">
        <v>18499608152</v>
      </c>
      <c r="D216" s="5" t="s">
        <v>948</v>
      </c>
      <c r="E216" s="8">
        <v>66.39</v>
      </c>
      <c r="F216" s="5" t="s">
        <v>10</v>
      </c>
      <c r="G216" s="2" t="s">
        <v>23</v>
      </c>
    </row>
    <row r="217" spans="1:7" x14ac:dyDescent="0.2">
      <c r="A217" s="11">
        <v>204</v>
      </c>
      <c r="B217" s="5" t="s">
        <v>1365</v>
      </c>
      <c r="C217" s="11">
        <v>56709743657</v>
      </c>
      <c r="D217" s="5" t="s">
        <v>1366</v>
      </c>
      <c r="E217" s="8">
        <v>4.5</v>
      </c>
      <c r="F217" s="5" t="s">
        <v>10</v>
      </c>
      <c r="G217" s="2" t="s">
        <v>23</v>
      </c>
    </row>
    <row r="218" spans="1:7" x14ac:dyDescent="0.2">
      <c r="A218" s="11">
        <v>205</v>
      </c>
      <c r="B218" s="5" t="s">
        <v>956</v>
      </c>
      <c r="C218" s="12" t="s">
        <v>957</v>
      </c>
      <c r="D218" s="5" t="s">
        <v>958</v>
      </c>
      <c r="E218" s="8">
        <v>47.5</v>
      </c>
      <c r="F218" s="5" t="s">
        <v>10</v>
      </c>
      <c r="G218" s="2" t="s">
        <v>23</v>
      </c>
    </row>
    <row r="219" spans="1:7" x14ac:dyDescent="0.2">
      <c r="A219" s="11">
        <v>206</v>
      </c>
      <c r="B219" s="5" t="s">
        <v>1367</v>
      </c>
      <c r="C219" s="11">
        <v>29519763547</v>
      </c>
      <c r="D219" s="5" t="s">
        <v>1368</v>
      </c>
      <c r="E219" s="8">
        <v>4.6500000000000004</v>
      </c>
      <c r="F219" s="5" t="s">
        <v>10</v>
      </c>
      <c r="G219" s="2" t="s">
        <v>23</v>
      </c>
    </row>
    <row r="220" spans="1:7" x14ac:dyDescent="0.2">
      <c r="A220" s="11">
        <v>207</v>
      </c>
      <c r="B220" s="5" t="s">
        <v>1369</v>
      </c>
      <c r="C220" s="11">
        <v>38001831721</v>
      </c>
      <c r="D220" s="5" t="s">
        <v>1370</v>
      </c>
      <c r="E220" s="8">
        <v>100</v>
      </c>
      <c r="F220" s="5" t="s">
        <v>10</v>
      </c>
      <c r="G220" s="2" t="s">
        <v>1371</v>
      </c>
    </row>
    <row r="221" spans="1:7" x14ac:dyDescent="0.2">
      <c r="A221" s="11">
        <v>208</v>
      </c>
      <c r="B221" s="5" t="s">
        <v>1372</v>
      </c>
      <c r="C221" s="12" t="s">
        <v>1373</v>
      </c>
      <c r="D221" s="5" t="s">
        <v>1374</v>
      </c>
      <c r="E221" s="8">
        <v>147.88</v>
      </c>
      <c r="F221" s="5" t="s">
        <v>10</v>
      </c>
      <c r="G221" s="2" t="s">
        <v>23</v>
      </c>
    </row>
    <row r="222" spans="1:7" x14ac:dyDescent="0.2">
      <c r="A222" s="11">
        <v>209</v>
      </c>
      <c r="B222" s="5" t="s">
        <v>1375</v>
      </c>
      <c r="C222" s="11">
        <v>91367259285</v>
      </c>
      <c r="D222" s="5" t="s">
        <v>801</v>
      </c>
      <c r="E222" s="8">
        <v>30.54</v>
      </c>
      <c r="F222" s="5" t="s">
        <v>10</v>
      </c>
      <c r="G222" s="2" t="s">
        <v>176</v>
      </c>
    </row>
    <row r="223" spans="1:7" x14ac:dyDescent="0.2">
      <c r="A223" s="11">
        <v>210</v>
      </c>
      <c r="B223" s="5" t="s">
        <v>1376</v>
      </c>
      <c r="C223" s="11">
        <v>86827166545</v>
      </c>
      <c r="D223" s="5" t="s">
        <v>1377</v>
      </c>
      <c r="E223" s="8">
        <v>209.1</v>
      </c>
      <c r="F223" s="5" t="s">
        <v>10</v>
      </c>
      <c r="G223" s="2" t="s">
        <v>23</v>
      </c>
    </row>
    <row r="224" spans="1:7" x14ac:dyDescent="0.2">
      <c r="A224" s="11">
        <v>211</v>
      </c>
      <c r="B224" s="5" t="s">
        <v>1378</v>
      </c>
      <c r="C224" s="11">
        <v>92177469549</v>
      </c>
      <c r="D224" s="5" t="s">
        <v>1379</v>
      </c>
      <c r="E224" s="8">
        <v>4.51</v>
      </c>
      <c r="F224" s="5" t="s">
        <v>10</v>
      </c>
      <c r="G224" s="2" t="s">
        <v>176</v>
      </c>
    </row>
    <row r="225" spans="1:7" x14ac:dyDescent="0.2">
      <c r="A225" s="11">
        <v>212</v>
      </c>
      <c r="B225" s="5" t="s">
        <v>1380</v>
      </c>
      <c r="C225" s="11">
        <v>60566702025</v>
      </c>
      <c r="D225" s="5" t="s">
        <v>1202</v>
      </c>
      <c r="E225" s="8">
        <v>15.04</v>
      </c>
      <c r="F225" s="5" t="s">
        <v>10</v>
      </c>
      <c r="G225" s="2" t="s">
        <v>23</v>
      </c>
    </row>
    <row r="226" spans="1:7" x14ac:dyDescent="0.2">
      <c r="A226" s="11">
        <v>213</v>
      </c>
      <c r="B226" s="5" t="s">
        <v>1381</v>
      </c>
      <c r="C226" s="11">
        <v>9154187904</v>
      </c>
      <c r="D226" s="5" t="s">
        <v>1382</v>
      </c>
      <c r="E226" s="8">
        <v>146.9</v>
      </c>
      <c r="F226" s="5" t="s">
        <v>10</v>
      </c>
      <c r="G226" s="2" t="s">
        <v>173</v>
      </c>
    </row>
    <row r="227" spans="1:7" x14ac:dyDescent="0.2">
      <c r="A227" s="11">
        <v>214</v>
      </c>
      <c r="B227" s="5" t="s">
        <v>1383</v>
      </c>
      <c r="C227" s="11">
        <v>66089976432</v>
      </c>
      <c r="D227" s="5" t="s">
        <v>1384</v>
      </c>
      <c r="E227" s="8">
        <v>53.04</v>
      </c>
      <c r="F227" s="5" t="s">
        <v>10</v>
      </c>
      <c r="G227" s="2" t="s">
        <v>64</v>
      </c>
    </row>
    <row r="228" spans="1:7" x14ac:dyDescent="0.2">
      <c r="A228" s="11">
        <v>215</v>
      </c>
      <c r="B228" s="5" t="s">
        <v>1385</v>
      </c>
      <c r="C228" s="11">
        <v>98689708109</v>
      </c>
      <c r="D228" s="5" t="s">
        <v>1386</v>
      </c>
      <c r="E228" s="8">
        <v>9.3000000000000007</v>
      </c>
      <c r="F228" s="5" t="s">
        <v>10</v>
      </c>
      <c r="G228" s="2" t="s">
        <v>23</v>
      </c>
    </row>
    <row r="229" spans="1:7" x14ac:dyDescent="0.2">
      <c r="A229" s="11">
        <v>216</v>
      </c>
      <c r="B229" s="5" t="s">
        <v>1387</v>
      </c>
      <c r="C229" s="12" t="s">
        <v>1388</v>
      </c>
      <c r="D229" s="5" t="s">
        <v>1389</v>
      </c>
      <c r="E229" s="8">
        <v>125</v>
      </c>
      <c r="F229" s="5" t="s">
        <v>10</v>
      </c>
      <c r="G229" s="2" t="s">
        <v>1390</v>
      </c>
    </row>
    <row r="230" spans="1:7" x14ac:dyDescent="0.2">
      <c r="A230" s="11">
        <v>217</v>
      </c>
      <c r="B230" s="5" t="s">
        <v>1391</v>
      </c>
      <c r="C230" s="11">
        <v>13784529096</v>
      </c>
      <c r="D230" s="5" t="s">
        <v>1392</v>
      </c>
      <c r="E230" s="8">
        <v>9.11</v>
      </c>
      <c r="F230" s="5" t="s">
        <v>10</v>
      </c>
      <c r="G230" s="2" t="s">
        <v>23</v>
      </c>
    </row>
    <row r="231" spans="1:7" x14ac:dyDescent="0.2">
      <c r="A231" s="11">
        <v>218</v>
      </c>
      <c r="B231" s="5" t="s">
        <v>1393</v>
      </c>
      <c r="C231" s="11">
        <v>58340400111</v>
      </c>
      <c r="D231" s="5" t="s">
        <v>1394</v>
      </c>
      <c r="E231" s="8">
        <v>591.96</v>
      </c>
      <c r="F231" s="5" t="s">
        <v>10</v>
      </c>
      <c r="G231" s="2" t="s">
        <v>23</v>
      </c>
    </row>
    <row r="232" spans="1:7" x14ac:dyDescent="0.2">
      <c r="A232" s="11">
        <v>219</v>
      </c>
      <c r="B232" s="5" t="s">
        <v>1395</v>
      </c>
      <c r="C232" s="12" t="s">
        <v>1396</v>
      </c>
      <c r="D232" s="5" t="s">
        <v>211</v>
      </c>
      <c r="E232" s="8">
        <v>17</v>
      </c>
      <c r="F232" s="5" t="s">
        <v>10</v>
      </c>
      <c r="G232" s="2" t="s">
        <v>176</v>
      </c>
    </row>
    <row r="233" spans="1:7" x14ac:dyDescent="0.2">
      <c r="A233" s="11">
        <v>220</v>
      </c>
      <c r="B233" s="5" t="s">
        <v>636</v>
      </c>
      <c r="C233" s="11">
        <v>39135989747</v>
      </c>
      <c r="D233" s="5" t="s">
        <v>638</v>
      </c>
      <c r="E233" s="8">
        <v>247.47</v>
      </c>
      <c r="F233" s="5" t="s">
        <v>10</v>
      </c>
      <c r="G233" s="2" t="s">
        <v>176</v>
      </c>
    </row>
    <row r="234" spans="1:7" x14ac:dyDescent="0.2">
      <c r="A234" s="11">
        <v>221</v>
      </c>
      <c r="B234" s="5" t="s">
        <v>1397</v>
      </c>
      <c r="C234" s="11">
        <v>79069474349</v>
      </c>
      <c r="D234" s="5" t="s">
        <v>1398</v>
      </c>
      <c r="E234" s="8">
        <v>25.38</v>
      </c>
      <c r="F234" s="5" t="s">
        <v>10</v>
      </c>
      <c r="G234" s="2" t="s">
        <v>1399</v>
      </c>
    </row>
    <row r="235" spans="1:7" x14ac:dyDescent="0.2">
      <c r="A235" s="11">
        <v>222</v>
      </c>
      <c r="B235" s="5" t="s">
        <v>1400</v>
      </c>
      <c r="C235" s="12" t="s">
        <v>1401</v>
      </c>
      <c r="D235" s="5" t="s">
        <v>1402</v>
      </c>
      <c r="E235" s="8">
        <v>2086</v>
      </c>
      <c r="F235" s="5" t="s">
        <v>10</v>
      </c>
      <c r="G235" s="2" t="s">
        <v>23</v>
      </c>
    </row>
    <row r="236" spans="1:7" x14ac:dyDescent="0.2">
      <c r="A236" s="11">
        <v>223</v>
      </c>
      <c r="B236" s="5" t="s">
        <v>1403</v>
      </c>
      <c r="C236" s="12">
        <v>39881074944</v>
      </c>
      <c r="D236" s="5" t="s">
        <v>1404</v>
      </c>
      <c r="E236" s="8">
        <f>383.78+200.8</f>
        <v>584.57999999999993</v>
      </c>
      <c r="F236" s="5" t="s">
        <v>10</v>
      </c>
      <c r="G236" s="2" t="s">
        <v>23</v>
      </c>
    </row>
    <row r="237" spans="1:7" x14ac:dyDescent="0.2">
      <c r="A237" s="11">
        <v>224</v>
      </c>
      <c r="B237" s="5" t="s">
        <v>1405</v>
      </c>
      <c r="C237" s="11">
        <v>29059177553</v>
      </c>
      <c r="D237" s="5" t="s">
        <v>1406</v>
      </c>
      <c r="E237" s="8">
        <v>139.36000000000001</v>
      </c>
      <c r="F237" s="5" t="s">
        <v>10</v>
      </c>
      <c r="G237" s="2" t="s">
        <v>1407</v>
      </c>
    </row>
    <row r="238" spans="1:7" x14ac:dyDescent="0.2">
      <c r="A238" s="11">
        <v>225</v>
      </c>
      <c r="B238" s="5" t="s">
        <v>809</v>
      </c>
      <c r="C238" s="11" t="s">
        <v>811</v>
      </c>
      <c r="D238" s="5" t="s">
        <v>810</v>
      </c>
      <c r="E238" s="8">
        <v>76.2</v>
      </c>
      <c r="F238" s="5" t="s">
        <v>10</v>
      </c>
      <c r="G238" s="2" t="s">
        <v>23</v>
      </c>
    </row>
    <row r="239" spans="1:7" x14ac:dyDescent="0.2">
      <c r="A239" s="11">
        <v>226</v>
      </c>
      <c r="B239" s="5" t="s">
        <v>1189</v>
      </c>
      <c r="C239" s="11">
        <v>37639806727</v>
      </c>
      <c r="D239" s="5" t="s">
        <v>1408</v>
      </c>
      <c r="E239" s="8">
        <v>480</v>
      </c>
      <c r="F239" s="5" t="s">
        <v>10</v>
      </c>
      <c r="G239" s="2" t="s">
        <v>1409</v>
      </c>
    </row>
    <row r="240" spans="1:7" x14ac:dyDescent="0.2">
      <c r="A240" s="11">
        <v>227</v>
      </c>
      <c r="B240" s="23" t="s">
        <v>366</v>
      </c>
      <c r="C240" s="24">
        <v>66181750806</v>
      </c>
      <c r="D240" s="23" t="s">
        <v>251</v>
      </c>
      <c r="E240" s="8">
        <v>3663.39</v>
      </c>
      <c r="F240" s="23" t="s">
        <v>10</v>
      </c>
      <c r="G240" s="2" t="s">
        <v>367</v>
      </c>
    </row>
    <row r="241" spans="1:7" x14ac:dyDescent="0.2">
      <c r="A241" s="11">
        <v>228</v>
      </c>
      <c r="B241" s="5" t="s">
        <v>1410</v>
      </c>
      <c r="C241" s="11">
        <v>74153407974</v>
      </c>
      <c r="D241" s="5" t="s">
        <v>1411</v>
      </c>
      <c r="E241" s="8">
        <v>62.5</v>
      </c>
      <c r="F241" s="5" t="s">
        <v>10</v>
      </c>
      <c r="G241" s="2" t="s">
        <v>23</v>
      </c>
    </row>
    <row r="242" spans="1:7" x14ac:dyDescent="0.2">
      <c r="A242" s="11">
        <v>229</v>
      </c>
      <c r="B242" s="5" t="s">
        <v>1412</v>
      </c>
      <c r="C242" s="11">
        <v>42588898414</v>
      </c>
      <c r="D242" s="5" t="s">
        <v>1413</v>
      </c>
      <c r="E242" s="8">
        <v>631.76</v>
      </c>
      <c r="F242" s="5" t="s">
        <v>10</v>
      </c>
      <c r="G242" s="2" t="s">
        <v>1407</v>
      </c>
    </row>
    <row r="243" spans="1:7" x14ac:dyDescent="0.2">
      <c r="A243" s="11">
        <v>230</v>
      </c>
      <c r="B243" s="5" t="s">
        <v>1414</v>
      </c>
      <c r="C243" s="11">
        <v>99080771351</v>
      </c>
      <c r="D243" s="5" t="s">
        <v>1415</v>
      </c>
      <c r="E243" s="8">
        <v>208.46</v>
      </c>
      <c r="F243" s="5" t="s">
        <v>10</v>
      </c>
      <c r="G243" s="2" t="s">
        <v>23</v>
      </c>
    </row>
    <row r="244" spans="1:7" x14ac:dyDescent="0.2">
      <c r="A244" s="11">
        <v>231</v>
      </c>
      <c r="B244" s="5" t="s">
        <v>1416</v>
      </c>
      <c r="C244" s="11">
        <v>35140755222</v>
      </c>
      <c r="D244" s="5" t="s">
        <v>1417</v>
      </c>
      <c r="E244" s="8">
        <v>69.3</v>
      </c>
      <c r="F244" s="5" t="s">
        <v>10</v>
      </c>
      <c r="G244" s="2" t="s">
        <v>23</v>
      </c>
    </row>
    <row r="245" spans="1:7" x14ac:dyDescent="0.2">
      <c r="A245" s="11">
        <v>232</v>
      </c>
      <c r="B245" s="5" t="s">
        <v>1418</v>
      </c>
      <c r="C245" s="11">
        <v>17566507283</v>
      </c>
      <c r="D245" s="5" t="s">
        <v>1419</v>
      </c>
      <c r="E245" s="8">
        <v>63.75</v>
      </c>
      <c r="F245" s="5" t="s">
        <v>10</v>
      </c>
      <c r="G245" s="2" t="s">
        <v>367</v>
      </c>
    </row>
    <row r="246" spans="1:7" x14ac:dyDescent="0.2">
      <c r="A246" s="11">
        <v>233</v>
      </c>
      <c r="B246" s="5" t="s">
        <v>1420</v>
      </c>
      <c r="C246" s="11">
        <v>89206455960</v>
      </c>
      <c r="D246" s="5" t="s">
        <v>1421</v>
      </c>
      <c r="E246" s="8">
        <v>247.5</v>
      </c>
      <c r="F246" s="5" t="s">
        <v>10</v>
      </c>
      <c r="G246" s="2" t="s">
        <v>23</v>
      </c>
    </row>
    <row r="247" spans="1:7" x14ac:dyDescent="0.2">
      <c r="A247" s="11">
        <v>234</v>
      </c>
      <c r="B247" s="5" t="s">
        <v>1422</v>
      </c>
      <c r="C247" s="11">
        <v>33548604975</v>
      </c>
      <c r="D247" s="5" t="s">
        <v>1204</v>
      </c>
      <c r="E247" s="8">
        <v>130.5</v>
      </c>
      <c r="F247" s="5" t="s">
        <v>10</v>
      </c>
      <c r="G247" s="2" t="s">
        <v>23</v>
      </c>
    </row>
    <row r="248" spans="1:7" x14ac:dyDescent="0.2">
      <c r="A248" s="11">
        <v>235</v>
      </c>
      <c r="B248" s="5" t="s">
        <v>765</v>
      </c>
      <c r="C248" s="11" t="s">
        <v>1423</v>
      </c>
      <c r="D248" s="5" t="s">
        <v>1424</v>
      </c>
      <c r="E248" s="8">
        <v>503.6</v>
      </c>
      <c r="F248" s="5" t="s">
        <v>10</v>
      </c>
      <c r="G248" s="2" t="s">
        <v>23</v>
      </c>
    </row>
    <row r="249" spans="1:7" x14ac:dyDescent="0.2">
      <c r="A249" s="11">
        <v>236</v>
      </c>
      <c r="B249" s="5" t="s">
        <v>1425</v>
      </c>
      <c r="C249" s="11">
        <v>32788783151</v>
      </c>
      <c r="D249" s="5" t="s">
        <v>1426</v>
      </c>
      <c r="E249" s="8">
        <v>71.36</v>
      </c>
      <c r="F249" s="5" t="s">
        <v>10</v>
      </c>
      <c r="G249" s="2" t="s">
        <v>23</v>
      </c>
    </row>
    <row r="250" spans="1:7" x14ac:dyDescent="0.2">
      <c r="A250" s="11">
        <v>237</v>
      </c>
      <c r="B250" s="5" t="s">
        <v>195</v>
      </c>
      <c r="C250" s="11">
        <v>85621555748</v>
      </c>
      <c r="D250" s="5" t="s">
        <v>241</v>
      </c>
      <c r="E250" s="8">
        <f>296.4+247.8</f>
        <v>544.20000000000005</v>
      </c>
      <c r="F250" s="5" t="s">
        <v>10</v>
      </c>
      <c r="G250" s="2" t="s">
        <v>173</v>
      </c>
    </row>
    <row r="251" spans="1:7" x14ac:dyDescent="0.2">
      <c r="A251" s="11">
        <v>238</v>
      </c>
      <c r="B251" s="5" t="s">
        <v>1145</v>
      </c>
      <c r="C251" s="11" t="s">
        <v>1146</v>
      </c>
      <c r="D251" s="5" t="s">
        <v>1147</v>
      </c>
      <c r="E251" s="8">
        <v>1133.5</v>
      </c>
      <c r="F251" s="5" t="s">
        <v>10</v>
      </c>
      <c r="G251" s="2" t="s">
        <v>23</v>
      </c>
    </row>
    <row r="252" spans="1:7" x14ac:dyDescent="0.2">
      <c r="A252" s="11">
        <v>239</v>
      </c>
      <c r="B252" s="5" t="s">
        <v>912</v>
      </c>
      <c r="C252" s="11">
        <v>52909770220</v>
      </c>
      <c r="D252" s="5" t="s">
        <v>89</v>
      </c>
      <c r="E252" s="8">
        <v>2026.25</v>
      </c>
      <c r="F252" s="5" t="s">
        <v>10</v>
      </c>
      <c r="G252" s="2" t="s">
        <v>86</v>
      </c>
    </row>
    <row r="253" spans="1:7" x14ac:dyDescent="0.2">
      <c r="A253" s="11">
        <v>240</v>
      </c>
      <c r="B253" s="5" t="s">
        <v>1427</v>
      </c>
      <c r="C253" s="12" t="s">
        <v>1428</v>
      </c>
      <c r="D253" s="5" t="s">
        <v>1429</v>
      </c>
      <c r="E253" s="8">
        <v>6782</v>
      </c>
      <c r="F253" s="5" t="s">
        <v>10</v>
      </c>
      <c r="G253" s="2" t="s">
        <v>23</v>
      </c>
    </row>
    <row r="254" spans="1:7" x14ac:dyDescent="0.2">
      <c r="A254" s="11">
        <v>241</v>
      </c>
      <c r="B254" s="5" t="s">
        <v>1430</v>
      </c>
      <c r="C254" s="12">
        <v>99694525219</v>
      </c>
      <c r="D254" s="5" t="s">
        <v>1431</v>
      </c>
      <c r="E254" s="8">
        <v>327.14999999999998</v>
      </c>
      <c r="F254" s="5" t="s">
        <v>10</v>
      </c>
      <c r="G254" s="2" t="s">
        <v>23</v>
      </c>
    </row>
    <row r="255" spans="1:7" x14ac:dyDescent="0.2">
      <c r="A255" s="11">
        <v>242</v>
      </c>
      <c r="B255" s="5" t="s">
        <v>1335</v>
      </c>
      <c r="C255" s="12" t="s">
        <v>750</v>
      </c>
      <c r="D255" s="5" t="s">
        <v>751</v>
      </c>
      <c r="E255" s="8">
        <v>329.1</v>
      </c>
      <c r="F255" s="5" t="s">
        <v>10</v>
      </c>
      <c r="G255" s="2" t="s">
        <v>330</v>
      </c>
    </row>
    <row r="256" spans="1:7" x14ac:dyDescent="0.2">
      <c r="A256" s="11">
        <v>243</v>
      </c>
      <c r="B256" s="5" t="s">
        <v>593</v>
      </c>
      <c r="C256" s="11">
        <v>41261796409</v>
      </c>
      <c r="D256" s="5" t="s">
        <v>592</v>
      </c>
      <c r="E256" s="8">
        <v>1571.2</v>
      </c>
      <c r="F256" s="5" t="s">
        <v>10</v>
      </c>
      <c r="G256" s="2" t="s">
        <v>23</v>
      </c>
    </row>
    <row r="257" spans="1:7" x14ac:dyDescent="0.2">
      <c r="A257" s="11">
        <v>244</v>
      </c>
      <c r="B257" s="5" t="s">
        <v>531</v>
      </c>
      <c r="C257" s="11">
        <v>70273797250</v>
      </c>
      <c r="D257" s="5" t="s">
        <v>532</v>
      </c>
      <c r="E257" s="8">
        <v>53.95</v>
      </c>
      <c r="F257" s="5" t="s">
        <v>10</v>
      </c>
      <c r="G257" s="2" t="s">
        <v>481</v>
      </c>
    </row>
    <row r="258" spans="1:7" x14ac:dyDescent="0.2">
      <c r="A258" s="11">
        <v>245</v>
      </c>
      <c r="B258" s="5" t="s">
        <v>819</v>
      </c>
      <c r="C258" s="11">
        <v>30568370357</v>
      </c>
      <c r="D258" s="5" t="s">
        <v>820</v>
      </c>
      <c r="E258" s="15">
        <v>445.51</v>
      </c>
      <c r="F258" s="19" t="s">
        <v>10</v>
      </c>
      <c r="G258" s="28" t="s">
        <v>287</v>
      </c>
    </row>
    <row r="259" spans="1:7" ht="5.25" customHeight="1" x14ac:dyDescent="0.2">
      <c r="A259" s="11"/>
      <c r="B259" s="5"/>
      <c r="C259" s="11"/>
      <c r="D259" s="5"/>
      <c r="E259" s="8"/>
      <c r="F259" s="5"/>
      <c r="G259" s="2"/>
    </row>
    <row r="261" spans="1:7" x14ac:dyDescent="0.2">
      <c r="D261" s="53" t="s">
        <v>1432</v>
      </c>
      <c r="E261" s="54">
        <f>SUM(E11:E259)</f>
        <v>2303210.6399999992</v>
      </c>
    </row>
    <row r="269" spans="1:7" x14ac:dyDescent="0.2">
      <c r="D269" s="13"/>
    </row>
  </sheetData>
  <sheetProtection algorithmName="SHA-512" hashValue="cl5zIhbdONMBymzXRuEAZOpRLhkSNH6hVaS8DMaiz3PUKktuYG1Hk67l3Chsqu94wP05vBXjL+ANcWLy0yUlsw==" saltValue="bJoEUsDwLytoNZdFWckwSQ==" spinCount="100000" sheet="1" objects="1" scenarios="1" selectLockedCells="1" autoFilter="0" selectUnlockedCells="1"/>
  <autoFilter ref="A10:G258" xr:uid="{3BE92F88-EE22-42D7-BB34-C2327D88922D}"/>
  <mergeCells count="18">
    <mergeCell ref="A6:B6"/>
    <mergeCell ref="A7:B7"/>
    <mergeCell ref="C8:F8"/>
    <mergeCell ref="A35:A36"/>
    <mergeCell ref="B35:B36"/>
    <mergeCell ref="C35:C36"/>
    <mergeCell ref="D35:D36"/>
    <mergeCell ref="F35:F36"/>
    <mergeCell ref="A197:A198"/>
    <mergeCell ref="B197:B198"/>
    <mergeCell ref="C197:C198"/>
    <mergeCell ref="D197:D198"/>
    <mergeCell ref="F197:F198"/>
    <mergeCell ref="A52:A53"/>
    <mergeCell ref="B52:B53"/>
    <mergeCell ref="C52:C53"/>
    <mergeCell ref="D52:D53"/>
    <mergeCell ref="F52:F5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9308F-D8EF-4EE5-AE48-4EAD65D1A3CF}">
  <sheetPr codeName="List8"/>
  <dimension ref="A5:J208"/>
  <sheetViews>
    <sheetView workbookViewId="0">
      <selection activeCell="A149" sqref="A149:A196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74" t="s">
        <v>7</v>
      </c>
      <c r="B6" s="74"/>
    </row>
    <row r="7" spans="1:7" x14ac:dyDescent="0.2">
      <c r="A7" s="74" t="s">
        <v>8</v>
      </c>
      <c r="B7" s="74"/>
    </row>
    <row r="8" spans="1:7" x14ac:dyDescent="0.2">
      <c r="A8" s="25"/>
      <c r="B8" s="6"/>
      <c r="C8" s="75" t="s">
        <v>1433</v>
      </c>
      <c r="D8" s="75"/>
      <c r="E8" s="75"/>
      <c r="F8" s="75"/>
    </row>
    <row r="10" spans="1:7" x14ac:dyDescent="0.2">
      <c r="A10" s="3" t="s">
        <v>1</v>
      </c>
      <c r="B10" s="4" t="s">
        <v>0</v>
      </c>
      <c r="C10" s="3" t="s">
        <v>42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11</v>
      </c>
      <c r="C11" s="11">
        <v>23780250353</v>
      </c>
      <c r="D11" s="5" t="s">
        <v>27</v>
      </c>
      <c r="E11" s="8">
        <v>2520.39</v>
      </c>
      <c r="F11" s="5" t="s">
        <v>10</v>
      </c>
      <c r="G11" s="2" t="s">
        <v>12</v>
      </c>
    </row>
    <row r="12" spans="1:7" x14ac:dyDescent="0.2">
      <c r="A12" s="11">
        <v>2</v>
      </c>
      <c r="B12" s="5" t="s">
        <v>486</v>
      </c>
      <c r="C12" s="11" t="s">
        <v>487</v>
      </c>
      <c r="D12" s="5" t="s">
        <v>488</v>
      </c>
      <c r="E12" s="8">
        <v>2323</v>
      </c>
      <c r="F12" s="5" t="s">
        <v>10</v>
      </c>
      <c r="G12" s="2" t="s">
        <v>23</v>
      </c>
    </row>
    <row r="13" spans="1:7" x14ac:dyDescent="0.2">
      <c r="A13" s="11">
        <v>3</v>
      </c>
      <c r="B13" s="5" t="s">
        <v>14</v>
      </c>
      <c r="C13" s="11">
        <v>87939104217</v>
      </c>
      <c r="D13" s="5" t="s">
        <v>15</v>
      </c>
      <c r="E13" s="8">
        <v>176.32</v>
      </c>
      <c r="F13" s="5" t="s">
        <v>10</v>
      </c>
      <c r="G13" s="2" t="s">
        <v>16</v>
      </c>
    </row>
    <row r="14" spans="1:7" x14ac:dyDescent="0.2">
      <c r="A14" s="11">
        <v>4</v>
      </c>
      <c r="B14" s="5" t="s">
        <v>491</v>
      </c>
      <c r="C14" s="11" t="s">
        <v>492</v>
      </c>
      <c r="D14" s="5" t="s">
        <v>493</v>
      </c>
      <c r="E14" s="8">
        <v>731.28</v>
      </c>
      <c r="F14" s="5" t="s">
        <v>10</v>
      </c>
      <c r="G14" s="2" t="s">
        <v>23</v>
      </c>
    </row>
    <row r="15" spans="1:7" x14ac:dyDescent="0.2">
      <c r="A15" s="11">
        <v>5</v>
      </c>
      <c r="B15" s="5" t="s">
        <v>872</v>
      </c>
      <c r="C15" s="11">
        <v>52398663574</v>
      </c>
      <c r="D15" s="5" t="s">
        <v>871</v>
      </c>
      <c r="E15" s="8">
        <v>126.79</v>
      </c>
      <c r="F15" s="5" t="s">
        <v>10</v>
      </c>
      <c r="G15" s="2" t="s">
        <v>637</v>
      </c>
    </row>
    <row r="16" spans="1:7" ht="14.25" customHeight="1" x14ac:dyDescent="0.2">
      <c r="A16" s="11">
        <v>6</v>
      </c>
      <c r="B16" s="5" t="s">
        <v>19</v>
      </c>
      <c r="C16" s="12" t="s">
        <v>30</v>
      </c>
      <c r="D16" s="9" t="s">
        <v>31</v>
      </c>
      <c r="E16" s="8">
        <v>5369.76</v>
      </c>
      <c r="F16" s="5" t="s">
        <v>10</v>
      </c>
      <c r="G16" s="2" t="s">
        <v>20</v>
      </c>
    </row>
    <row r="17" spans="1:8" x14ac:dyDescent="0.2">
      <c r="A17" s="11">
        <v>7</v>
      </c>
      <c r="B17" s="5" t="s">
        <v>22</v>
      </c>
      <c r="C17" s="11">
        <v>85167032587</v>
      </c>
      <c r="D17" s="5" t="s">
        <v>29</v>
      </c>
      <c r="E17" s="8">
        <v>527.30999999999995</v>
      </c>
      <c r="F17" s="5" t="s">
        <v>10</v>
      </c>
      <c r="G17" s="2" t="s">
        <v>21</v>
      </c>
    </row>
    <row r="18" spans="1:8" x14ac:dyDescent="0.2">
      <c r="A18" s="11">
        <v>8</v>
      </c>
      <c r="B18" s="5" t="s">
        <v>180</v>
      </c>
      <c r="C18" s="11">
        <v>87311810356</v>
      </c>
      <c r="D18" s="5" t="s">
        <v>229</v>
      </c>
      <c r="E18" s="8">
        <f>454.21+283.33</f>
        <v>737.54</v>
      </c>
      <c r="F18" s="5" t="s">
        <v>10</v>
      </c>
      <c r="G18" s="2" t="s">
        <v>179</v>
      </c>
    </row>
    <row r="19" spans="1:8" x14ac:dyDescent="0.2">
      <c r="A19" s="11">
        <v>9</v>
      </c>
      <c r="B19" s="5" t="s">
        <v>688</v>
      </c>
      <c r="C19" s="11">
        <v>44040649076</v>
      </c>
      <c r="D19" s="5" t="s">
        <v>689</v>
      </c>
      <c r="E19" s="8">
        <f>10000+20125</f>
        <v>30125</v>
      </c>
      <c r="F19" s="5" t="s">
        <v>10</v>
      </c>
      <c r="G19" s="2" t="s">
        <v>23</v>
      </c>
    </row>
    <row r="20" spans="1:8" x14ac:dyDescent="0.2">
      <c r="A20" s="11">
        <v>10</v>
      </c>
      <c r="B20" s="5" t="s">
        <v>185</v>
      </c>
      <c r="C20" s="11">
        <v>52848403362</v>
      </c>
      <c r="D20" s="5" t="s">
        <v>237</v>
      </c>
      <c r="E20" s="8">
        <v>448.56</v>
      </c>
      <c r="F20" s="5" t="s">
        <v>10</v>
      </c>
      <c r="G20" s="2" t="s">
        <v>186</v>
      </c>
    </row>
    <row r="21" spans="1:8" x14ac:dyDescent="0.2">
      <c r="A21" s="11">
        <v>11</v>
      </c>
      <c r="B21" s="5" t="s">
        <v>17</v>
      </c>
      <c r="C21" s="11" t="s">
        <v>17</v>
      </c>
      <c r="D21" s="5" t="s">
        <v>17</v>
      </c>
      <c r="E21" s="8">
        <v>1185387.22</v>
      </c>
      <c r="F21" s="5" t="s">
        <v>10</v>
      </c>
      <c r="G21" s="2" t="s">
        <v>34</v>
      </c>
    </row>
    <row r="22" spans="1:8" ht="15" customHeight="1" x14ac:dyDescent="0.2">
      <c r="A22" s="11">
        <v>12</v>
      </c>
      <c r="B22" s="5" t="s">
        <v>685</v>
      </c>
      <c r="C22" s="11">
        <v>78424785565</v>
      </c>
      <c r="D22" s="5" t="s">
        <v>686</v>
      </c>
      <c r="E22" s="8">
        <v>675</v>
      </c>
      <c r="F22" s="5" t="s">
        <v>10</v>
      </c>
      <c r="G22" s="2" t="s">
        <v>23</v>
      </c>
    </row>
    <row r="23" spans="1:8" x14ac:dyDescent="0.2">
      <c r="A23" s="11">
        <v>13</v>
      </c>
      <c r="B23" s="5" t="s">
        <v>787</v>
      </c>
      <c r="C23" s="11" t="s">
        <v>788</v>
      </c>
      <c r="D23" s="5" t="s">
        <v>789</v>
      </c>
      <c r="E23" s="8">
        <v>1850</v>
      </c>
      <c r="F23" s="5" t="s">
        <v>10</v>
      </c>
      <c r="G23" s="2" t="s">
        <v>23</v>
      </c>
    </row>
    <row r="24" spans="1:8" x14ac:dyDescent="0.2">
      <c r="A24" s="11">
        <v>14</v>
      </c>
      <c r="B24" s="5" t="s">
        <v>39</v>
      </c>
      <c r="C24" s="12" t="s">
        <v>44</v>
      </c>
      <c r="D24" s="5" t="s">
        <v>43</v>
      </c>
      <c r="E24" s="8">
        <v>1515.64</v>
      </c>
      <c r="F24" s="5" t="s">
        <v>10</v>
      </c>
      <c r="G24" s="2" t="s">
        <v>16</v>
      </c>
    </row>
    <row r="25" spans="1:8" x14ac:dyDescent="0.2">
      <c r="A25" s="11">
        <v>15</v>
      </c>
      <c r="B25" s="5" t="s">
        <v>45</v>
      </c>
      <c r="C25" s="11">
        <v>57500462912</v>
      </c>
      <c r="D25" s="5" t="s">
        <v>47</v>
      </c>
      <c r="E25" s="8">
        <v>1300</v>
      </c>
      <c r="F25" s="5" t="s">
        <v>10</v>
      </c>
      <c r="G25" s="2" t="s">
        <v>46</v>
      </c>
    </row>
    <row r="26" spans="1:8" x14ac:dyDescent="0.2">
      <c r="A26" s="11">
        <v>16</v>
      </c>
      <c r="B26" s="5" t="s">
        <v>896</v>
      </c>
      <c r="C26" s="11">
        <v>28440665923</v>
      </c>
      <c r="D26" s="5" t="s">
        <v>897</v>
      </c>
      <c r="E26" s="8">
        <v>80</v>
      </c>
      <c r="F26" s="5" t="s">
        <v>10</v>
      </c>
      <c r="G26" s="2" t="s">
        <v>330</v>
      </c>
    </row>
    <row r="27" spans="1:8" x14ac:dyDescent="0.2">
      <c r="A27" s="11">
        <v>17</v>
      </c>
      <c r="B27" s="19" t="s">
        <v>297</v>
      </c>
      <c r="C27" s="36">
        <v>72836081238</v>
      </c>
      <c r="D27" s="19" t="s">
        <v>298</v>
      </c>
      <c r="E27" s="15">
        <f>7125+6625+2694.04</f>
        <v>16444.04</v>
      </c>
      <c r="F27" s="19" t="s">
        <v>10</v>
      </c>
      <c r="G27" s="28" t="s">
        <v>23</v>
      </c>
    </row>
    <row r="28" spans="1:8" x14ac:dyDescent="0.2">
      <c r="A28" s="11">
        <v>18</v>
      </c>
      <c r="B28" s="5" t="s">
        <v>388</v>
      </c>
      <c r="C28" s="11" t="s">
        <v>390</v>
      </c>
      <c r="D28" s="5" t="s">
        <v>389</v>
      </c>
      <c r="E28" s="8">
        <v>10000</v>
      </c>
      <c r="F28" s="44" t="s">
        <v>10</v>
      </c>
      <c r="G28" s="2" t="s">
        <v>23</v>
      </c>
    </row>
    <row r="29" spans="1:8" x14ac:dyDescent="0.2">
      <c r="A29" s="11">
        <v>19</v>
      </c>
      <c r="B29" s="5" t="s">
        <v>290</v>
      </c>
      <c r="C29" s="11">
        <v>40779258479</v>
      </c>
      <c r="D29" s="5" t="s">
        <v>291</v>
      </c>
      <c r="E29" s="8">
        <v>10000</v>
      </c>
      <c r="F29" s="5" t="s">
        <v>10</v>
      </c>
      <c r="G29" s="2" t="s">
        <v>23</v>
      </c>
      <c r="H29" s="13"/>
    </row>
    <row r="30" spans="1:8" x14ac:dyDescent="0.2">
      <c r="A30" s="11">
        <v>20</v>
      </c>
      <c r="B30" s="23" t="s">
        <v>613</v>
      </c>
      <c r="C30" s="24">
        <v>66253945791</v>
      </c>
      <c r="D30" s="38" t="s">
        <v>67</v>
      </c>
      <c r="E30" s="8">
        <v>60000</v>
      </c>
      <c r="F30" s="23" t="s">
        <v>10</v>
      </c>
      <c r="G30" s="2" t="s">
        <v>58</v>
      </c>
    </row>
    <row r="31" spans="1:8" x14ac:dyDescent="0.2">
      <c r="A31" s="11">
        <v>21</v>
      </c>
      <c r="B31" s="5" t="s">
        <v>943</v>
      </c>
      <c r="C31" s="11">
        <v>68381265730</v>
      </c>
      <c r="D31" s="5" t="s">
        <v>944</v>
      </c>
      <c r="E31" s="17">
        <v>1719.75</v>
      </c>
      <c r="F31" s="5" t="s">
        <v>10</v>
      </c>
      <c r="G31" s="2" t="s">
        <v>23</v>
      </c>
    </row>
    <row r="32" spans="1:8" x14ac:dyDescent="0.2">
      <c r="A32" s="11">
        <v>22</v>
      </c>
      <c r="B32" s="19" t="s">
        <v>59</v>
      </c>
      <c r="C32" s="36">
        <v>63073332379</v>
      </c>
      <c r="D32" s="19" t="s">
        <v>73</v>
      </c>
      <c r="E32" s="15">
        <v>2858.62</v>
      </c>
      <c r="F32" s="19" t="s">
        <v>10</v>
      </c>
      <c r="G32" s="28" t="s">
        <v>61</v>
      </c>
    </row>
    <row r="33" spans="1:7" x14ac:dyDescent="0.2">
      <c r="A33" s="11">
        <v>23</v>
      </c>
      <c r="B33" s="5" t="s">
        <v>1009</v>
      </c>
      <c r="C33" s="11">
        <v>27712717103</v>
      </c>
      <c r="D33" s="5" t="s">
        <v>1010</v>
      </c>
      <c r="E33" s="8">
        <v>12000</v>
      </c>
      <c r="F33" s="44" t="s">
        <v>10</v>
      </c>
      <c r="G33" s="2" t="s">
        <v>147</v>
      </c>
    </row>
    <row r="34" spans="1:7" ht="12.75" thickBot="1" x14ac:dyDescent="0.25">
      <c r="A34" s="11">
        <v>24</v>
      </c>
      <c r="B34" s="5" t="s">
        <v>755</v>
      </c>
      <c r="C34" s="11">
        <v>44270699963</v>
      </c>
      <c r="D34" s="5" t="s">
        <v>756</v>
      </c>
      <c r="E34" s="18">
        <v>29.7</v>
      </c>
      <c r="F34" s="35" t="s">
        <v>10</v>
      </c>
      <c r="G34" s="32" t="s">
        <v>112</v>
      </c>
    </row>
    <row r="35" spans="1:7" ht="15" customHeight="1" x14ac:dyDescent="0.2">
      <c r="A35" s="84">
        <v>25</v>
      </c>
      <c r="B35" s="82" t="s">
        <v>76</v>
      </c>
      <c r="C35" s="84">
        <v>11471889269</v>
      </c>
      <c r="D35" s="82" t="s">
        <v>77</v>
      </c>
      <c r="E35" s="16">
        <v>7599.21</v>
      </c>
      <c r="F35" s="82" t="s">
        <v>10</v>
      </c>
      <c r="G35" s="31" t="s">
        <v>58</v>
      </c>
    </row>
    <row r="36" spans="1:7" ht="12.75" thickBot="1" x14ac:dyDescent="0.25">
      <c r="A36" s="70"/>
      <c r="B36" s="69"/>
      <c r="C36" s="70"/>
      <c r="D36" s="69"/>
      <c r="E36" s="15">
        <v>5883.83</v>
      </c>
      <c r="F36" s="69"/>
      <c r="G36" s="28" t="s">
        <v>23</v>
      </c>
    </row>
    <row r="37" spans="1:7" x14ac:dyDescent="0.2">
      <c r="A37" s="55">
        <v>26</v>
      </c>
      <c r="B37" s="56" t="s">
        <v>78</v>
      </c>
      <c r="C37" s="55">
        <v>27759560625</v>
      </c>
      <c r="D37" s="56" t="s">
        <v>80</v>
      </c>
      <c r="E37" s="16">
        <v>8399.42</v>
      </c>
      <c r="F37" s="56" t="s">
        <v>10</v>
      </c>
      <c r="G37" s="31" t="s">
        <v>79</v>
      </c>
    </row>
    <row r="38" spans="1:7" x14ac:dyDescent="0.2">
      <c r="A38" s="37">
        <v>27</v>
      </c>
      <c r="B38" s="33" t="s">
        <v>655</v>
      </c>
      <c r="C38" s="37" t="s">
        <v>657</v>
      </c>
      <c r="D38" s="33" t="s">
        <v>656</v>
      </c>
      <c r="E38" s="17">
        <v>3926.46</v>
      </c>
      <c r="F38" s="33" t="s">
        <v>10</v>
      </c>
      <c r="G38" s="34" t="s">
        <v>23</v>
      </c>
    </row>
    <row r="39" spans="1:7" x14ac:dyDescent="0.2">
      <c r="A39" s="11">
        <v>28</v>
      </c>
      <c r="B39" s="5" t="s">
        <v>1028</v>
      </c>
      <c r="C39" s="11" t="s">
        <v>1029</v>
      </c>
      <c r="D39" s="5" t="s">
        <v>1030</v>
      </c>
      <c r="E39" s="8">
        <v>2160</v>
      </c>
      <c r="F39" s="5" t="s">
        <v>10</v>
      </c>
      <c r="G39" s="2" t="s">
        <v>23</v>
      </c>
    </row>
    <row r="40" spans="1:7" x14ac:dyDescent="0.2">
      <c r="A40" s="37">
        <v>29</v>
      </c>
      <c r="B40" s="5" t="s">
        <v>533</v>
      </c>
      <c r="C40" s="11">
        <v>7882320813</v>
      </c>
      <c r="D40" s="5" t="s">
        <v>1141</v>
      </c>
      <c r="E40" s="8">
        <v>191.08</v>
      </c>
      <c r="F40" s="5" t="s">
        <v>10</v>
      </c>
      <c r="G40" s="2" t="s">
        <v>367</v>
      </c>
    </row>
    <row r="41" spans="1:7" x14ac:dyDescent="0.2">
      <c r="A41" s="11">
        <v>30</v>
      </c>
      <c r="B41" s="5" t="s">
        <v>552</v>
      </c>
      <c r="C41" s="12" t="s">
        <v>554</v>
      </c>
      <c r="D41" s="5" t="s">
        <v>1338</v>
      </c>
      <c r="E41" s="8">
        <v>94.5</v>
      </c>
      <c r="F41" s="5" t="s">
        <v>10</v>
      </c>
      <c r="G41" s="2" t="s">
        <v>23</v>
      </c>
    </row>
    <row r="42" spans="1:7" x14ac:dyDescent="0.2">
      <c r="A42" s="37">
        <v>31</v>
      </c>
      <c r="B42" s="19" t="s">
        <v>738</v>
      </c>
      <c r="C42" s="36">
        <v>77170927797</v>
      </c>
      <c r="D42" s="19" t="s">
        <v>739</v>
      </c>
      <c r="E42" s="8">
        <v>450.83</v>
      </c>
      <c r="F42" s="5" t="s">
        <v>10</v>
      </c>
      <c r="G42" s="2" t="s">
        <v>23</v>
      </c>
    </row>
    <row r="43" spans="1:7" x14ac:dyDescent="0.2">
      <c r="A43" s="11">
        <v>32</v>
      </c>
      <c r="B43" s="44" t="s">
        <v>181</v>
      </c>
      <c r="C43" s="45">
        <v>71642207963</v>
      </c>
      <c r="D43" s="44" t="s">
        <v>232</v>
      </c>
      <c r="E43" s="8">
        <v>53.7</v>
      </c>
      <c r="F43" s="5" t="s">
        <v>10</v>
      </c>
      <c r="G43" s="2" t="s">
        <v>23</v>
      </c>
    </row>
    <row r="44" spans="1:7" x14ac:dyDescent="0.2">
      <c r="A44" s="37">
        <v>33</v>
      </c>
      <c r="B44" s="5" t="s">
        <v>100</v>
      </c>
      <c r="C44" s="11" t="s">
        <v>17</v>
      </c>
      <c r="D44" s="5" t="s">
        <v>17</v>
      </c>
      <c r="E44" s="8">
        <v>267.47000000000003</v>
      </c>
      <c r="F44" s="5" t="s">
        <v>10</v>
      </c>
      <c r="G44" s="2" t="s">
        <v>99</v>
      </c>
    </row>
    <row r="45" spans="1:7" x14ac:dyDescent="0.2">
      <c r="A45" s="11">
        <v>34</v>
      </c>
      <c r="B45" s="5" t="s">
        <v>17</v>
      </c>
      <c r="C45" s="11" t="s">
        <v>17</v>
      </c>
      <c r="D45" s="5" t="s">
        <v>17</v>
      </c>
      <c r="E45" s="8">
        <v>3360</v>
      </c>
      <c r="F45" s="5" t="s">
        <v>10</v>
      </c>
      <c r="G45" s="2" t="s">
        <v>101</v>
      </c>
    </row>
    <row r="46" spans="1:7" x14ac:dyDescent="0.2">
      <c r="A46" s="37">
        <v>35</v>
      </c>
      <c r="B46" s="5" t="s">
        <v>711</v>
      </c>
      <c r="C46" s="11">
        <v>33813961569</v>
      </c>
      <c r="D46" s="5" t="s">
        <v>712</v>
      </c>
      <c r="E46" s="8">
        <v>103.28</v>
      </c>
      <c r="F46" s="5" t="s">
        <v>10</v>
      </c>
      <c r="G46" s="2" t="s">
        <v>112</v>
      </c>
    </row>
    <row r="47" spans="1:7" x14ac:dyDescent="0.2">
      <c r="A47" s="11">
        <v>36</v>
      </c>
      <c r="B47" s="5" t="s">
        <v>1101</v>
      </c>
      <c r="C47" s="11">
        <v>70250179767</v>
      </c>
      <c r="D47" s="5" t="s">
        <v>1102</v>
      </c>
      <c r="E47" s="8">
        <v>247.8</v>
      </c>
      <c r="F47" s="5" t="s">
        <v>10</v>
      </c>
      <c r="G47" s="2" t="s">
        <v>23</v>
      </c>
    </row>
    <row r="48" spans="1:7" x14ac:dyDescent="0.2">
      <c r="A48" s="37">
        <v>37</v>
      </c>
      <c r="B48" s="5" t="s">
        <v>890</v>
      </c>
      <c r="C48" s="12" t="s">
        <v>892</v>
      </c>
      <c r="D48" s="5" t="s">
        <v>891</v>
      </c>
      <c r="E48" s="8">
        <v>2970</v>
      </c>
      <c r="F48" s="5" t="s">
        <v>10</v>
      </c>
      <c r="G48" s="2" t="s">
        <v>23</v>
      </c>
    </row>
    <row r="49" spans="1:9" x14ac:dyDescent="0.2">
      <c r="A49" s="11">
        <v>38</v>
      </c>
      <c r="B49" s="5" t="s">
        <v>109</v>
      </c>
      <c r="C49" s="11">
        <v>32179081874</v>
      </c>
      <c r="D49" s="5" t="s">
        <v>110</v>
      </c>
      <c r="E49" s="15">
        <v>144.49</v>
      </c>
      <c r="F49" s="19" t="s">
        <v>10</v>
      </c>
      <c r="G49" s="28" t="s">
        <v>108</v>
      </c>
    </row>
    <row r="50" spans="1:9" x14ac:dyDescent="0.2">
      <c r="A50" s="37">
        <v>39</v>
      </c>
      <c r="B50" s="23" t="s">
        <v>113</v>
      </c>
      <c r="C50" s="24">
        <v>76173743169</v>
      </c>
      <c r="D50" s="23" t="s">
        <v>111</v>
      </c>
      <c r="E50" s="8">
        <f>33.18+549.24</f>
        <v>582.41999999999996</v>
      </c>
      <c r="F50" s="23" t="s">
        <v>10</v>
      </c>
      <c r="G50" s="2" t="s">
        <v>108</v>
      </c>
    </row>
    <row r="51" spans="1:9" ht="12.75" thickBot="1" x14ac:dyDescent="0.25">
      <c r="A51" s="11">
        <v>40</v>
      </c>
      <c r="B51" s="19" t="s">
        <v>114</v>
      </c>
      <c r="C51" s="43" t="s">
        <v>116</v>
      </c>
      <c r="D51" s="19" t="s">
        <v>117</v>
      </c>
      <c r="E51" s="15">
        <v>957.01</v>
      </c>
      <c r="F51" s="19" t="s">
        <v>10</v>
      </c>
      <c r="G51" s="28" t="s">
        <v>115</v>
      </c>
    </row>
    <row r="52" spans="1:9" x14ac:dyDescent="0.2">
      <c r="A52" s="84">
        <v>41</v>
      </c>
      <c r="B52" s="82" t="s">
        <v>119</v>
      </c>
      <c r="C52" s="84">
        <v>34976993601</v>
      </c>
      <c r="D52" s="82" t="s">
        <v>120</v>
      </c>
      <c r="E52" s="16">
        <f>417.5+239.02</f>
        <v>656.52</v>
      </c>
      <c r="F52" s="82" t="s">
        <v>10</v>
      </c>
      <c r="G52" s="31" t="s">
        <v>118</v>
      </c>
    </row>
    <row r="53" spans="1:9" ht="12.75" thickBot="1" x14ac:dyDescent="0.25">
      <c r="A53" s="85"/>
      <c r="B53" s="83"/>
      <c r="C53" s="85"/>
      <c r="D53" s="83"/>
      <c r="E53" s="18">
        <v>200.75</v>
      </c>
      <c r="F53" s="83"/>
      <c r="G53" s="32" t="s">
        <v>287</v>
      </c>
    </row>
    <row r="54" spans="1:9" x14ac:dyDescent="0.2">
      <c r="A54" s="37">
        <v>42</v>
      </c>
      <c r="B54" s="33" t="s">
        <v>17</v>
      </c>
      <c r="C54" s="37" t="s">
        <v>17</v>
      </c>
      <c r="D54" s="33" t="s">
        <v>17</v>
      </c>
      <c r="E54" s="17">
        <v>1753.1</v>
      </c>
      <c r="F54" s="33" t="s">
        <v>10</v>
      </c>
      <c r="G54" s="34" t="s">
        <v>121</v>
      </c>
    </row>
    <row r="55" spans="1:9" x14ac:dyDescent="0.2">
      <c r="A55" s="11">
        <v>43</v>
      </c>
      <c r="B55" s="5" t="s">
        <v>17</v>
      </c>
      <c r="C55" s="11" t="s">
        <v>17</v>
      </c>
      <c r="D55" s="5" t="s">
        <v>17</v>
      </c>
      <c r="E55" s="8">
        <f>1003.38+24072.88</f>
        <v>25076.260000000002</v>
      </c>
      <c r="F55" s="5" t="s">
        <v>10</v>
      </c>
      <c r="G55" s="2" t="s">
        <v>122</v>
      </c>
    </row>
    <row r="56" spans="1:9" x14ac:dyDescent="0.2">
      <c r="A56" s="11">
        <v>44</v>
      </c>
      <c r="B56" s="5" t="s">
        <v>884</v>
      </c>
      <c r="C56" s="11">
        <v>33956120458</v>
      </c>
      <c r="D56" s="5" t="s">
        <v>885</v>
      </c>
      <c r="E56" s="8">
        <v>186.08</v>
      </c>
      <c r="F56" s="5" t="s">
        <v>10</v>
      </c>
      <c r="G56" s="2" t="s">
        <v>23</v>
      </c>
    </row>
    <row r="57" spans="1:9" x14ac:dyDescent="0.2">
      <c r="A57" s="11">
        <v>45</v>
      </c>
      <c r="B57" s="5" t="s">
        <v>183</v>
      </c>
      <c r="C57" s="11">
        <v>95449332614</v>
      </c>
      <c r="D57" s="5" t="s">
        <v>235</v>
      </c>
      <c r="E57" s="8">
        <v>120.5</v>
      </c>
      <c r="F57" s="5" t="s">
        <v>10</v>
      </c>
      <c r="G57" s="2" t="s">
        <v>23</v>
      </c>
    </row>
    <row r="58" spans="1:9" x14ac:dyDescent="0.2">
      <c r="A58" s="11">
        <v>46</v>
      </c>
      <c r="B58" s="5" t="s">
        <v>1219</v>
      </c>
      <c r="C58" s="11">
        <v>62738155272</v>
      </c>
      <c r="D58" s="5" t="s">
        <v>1220</v>
      </c>
      <c r="E58" s="8">
        <v>62.11</v>
      </c>
      <c r="F58" s="5" t="s">
        <v>10</v>
      </c>
      <c r="G58" s="2" t="s">
        <v>23</v>
      </c>
    </row>
    <row r="59" spans="1:9" x14ac:dyDescent="0.2">
      <c r="A59" s="11">
        <v>47</v>
      </c>
      <c r="B59" s="5" t="s">
        <v>578</v>
      </c>
      <c r="C59" s="11">
        <v>64691033428</v>
      </c>
      <c r="D59" s="5" t="s">
        <v>601</v>
      </c>
      <c r="E59" s="8">
        <v>73.53</v>
      </c>
      <c r="F59" s="23" t="s">
        <v>10</v>
      </c>
      <c r="G59" s="2" t="s">
        <v>23</v>
      </c>
    </row>
    <row r="60" spans="1:9" x14ac:dyDescent="0.2">
      <c r="A60" s="11">
        <v>48</v>
      </c>
      <c r="B60" s="23" t="s">
        <v>132</v>
      </c>
      <c r="C60" s="24">
        <v>81793146560</v>
      </c>
      <c r="D60" s="23" t="s">
        <v>133</v>
      </c>
      <c r="E60" s="8">
        <v>2011.86</v>
      </c>
      <c r="F60" s="5" t="s">
        <v>10</v>
      </c>
      <c r="G60" s="2" t="s">
        <v>292</v>
      </c>
    </row>
    <row r="61" spans="1:9" x14ac:dyDescent="0.2">
      <c r="A61" s="11">
        <v>49</v>
      </c>
      <c r="B61" s="5" t="s">
        <v>443</v>
      </c>
      <c r="C61" s="11" t="s">
        <v>17</v>
      </c>
      <c r="D61" s="5" t="s">
        <v>17</v>
      </c>
      <c r="E61" s="8">
        <v>200</v>
      </c>
      <c r="F61" s="5" t="s">
        <v>10</v>
      </c>
      <c r="G61" s="2" t="s">
        <v>179</v>
      </c>
      <c r="I61" s="13"/>
    </row>
    <row r="62" spans="1:9" x14ac:dyDescent="0.2">
      <c r="A62" s="11">
        <v>50</v>
      </c>
      <c r="B62" s="5" t="s">
        <v>1299</v>
      </c>
      <c r="C62" s="11" t="s">
        <v>1300</v>
      </c>
      <c r="D62" s="5" t="s">
        <v>1301</v>
      </c>
      <c r="E62" s="8">
        <v>35</v>
      </c>
      <c r="F62" s="5" t="s">
        <v>10</v>
      </c>
      <c r="G62" s="2" t="s">
        <v>23</v>
      </c>
    </row>
    <row r="63" spans="1:9" x14ac:dyDescent="0.2">
      <c r="A63" s="11">
        <v>51</v>
      </c>
      <c r="B63" s="5" t="s">
        <v>846</v>
      </c>
      <c r="C63" s="11">
        <v>51469557335</v>
      </c>
      <c r="D63" s="5" t="s">
        <v>847</v>
      </c>
      <c r="E63" s="8">
        <v>294.01</v>
      </c>
      <c r="F63" s="5" t="s">
        <v>10</v>
      </c>
      <c r="G63" s="2" t="s">
        <v>23</v>
      </c>
    </row>
    <row r="64" spans="1:9" x14ac:dyDescent="0.2">
      <c r="A64" s="11">
        <v>52</v>
      </c>
      <c r="B64" s="5" t="s">
        <v>138</v>
      </c>
      <c r="C64" s="11">
        <v>46163832762</v>
      </c>
      <c r="D64" s="5" t="s">
        <v>202</v>
      </c>
      <c r="E64" s="8">
        <v>179.01</v>
      </c>
      <c r="F64" s="5" t="s">
        <v>10</v>
      </c>
      <c r="G64" s="2" t="s">
        <v>112</v>
      </c>
    </row>
    <row r="65" spans="1:9" x14ac:dyDescent="0.2">
      <c r="A65" s="11">
        <v>53</v>
      </c>
      <c r="B65" s="5" t="s">
        <v>140</v>
      </c>
      <c r="C65" s="11">
        <v>41412434130</v>
      </c>
      <c r="D65" s="5" t="s">
        <v>197</v>
      </c>
      <c r="E65" s="8">
        <v>71.98</v>
      </c>
      <c r="F65" s="5" t="s">
        <v>10</v>
      </c>
      <c r="G65" s="2" t="s">
        <v>112</v>
      </c>
    </row>
    <row r="66" spans="1:9" x14ac:dyDescent="0.2">
      <c r="A66" s="11">
        <v>54</v>
      </c>
      <c r="B66" s="5" t="s">
        <v>855</v>
      </c>
      <c r="C66" s="11">
        <v>41317489366</v>
      </c>
      <c r="D66" s="5" t="s">
        <v>856</v>
      </c>
      <c r="E66" s="8">
        <v>1.4</v>
      </c>
      <c r="F66" s="5" t="s">
        <v>10</v>
      </c>
      <c r="G66" s="2" t="s">
        <v>263</v>
      </c>
      <c r="I66" s="13"/>
    </row>
    <row r="67" spans="1:9" x14ac:dyDescent="0.2">
      <c r="A67" s="11">
        <v>55</v>
      </c>
      <c r="B67" s="5" t="s">
        <v>142</v>
      </c>
      <c r="C67" s="12" t="s">
        <v>203</v>
      </c>
      <c r="D67" s="5" t="s">
        <v>204</v>
      </c>
      <c r="E67" s="8">
        <v>123.52</v>
      </c>
      <c r="F67" s="5" t="s">
        <v>10</v>
      </c>
      <c r="G67" s="2" t="s">
        <v>112</v>
      </c>
    </row>
    <row r="68" spans="1:9" x14ac:dyDescent="0.2">
      <c r="A68" s="11">
        <v>56</v>
      </c>
      <c r="B68" s="5" t="s">
        <v>143</v>
      </c>
      <c r="C68" s="11">
        <v>85584865987</v>
      </c>
      <c r="D68" s="5" t="s">
        <v>205</v>
      </c>
      <c r="E68" s="8">
        <f>633.65+1127.29</f>
        <v>1760.94</v>
      </c>
      <c r="F68" s="5" t="s">
        <v>10</v>
      </c>
      <c r="G68" s="2" t="s">
        <v>112</v>
      </c>
    </row>
    <row r="69" spans="1:9" x14ac:dyDescent="0.2">
      <c r="A69" s="11">
        <v>57</v>
      </c>
      <c r="B69" s="5" t="s">
        <v>144</v>
      </c>
      <c r="C69" s="11" t="s">
        <v>740</v>
      </c>
      <c r="D69" s="5" t="s">
        <v>740</v>
      </c>
      <c r="E69" s="8">
        <v>1008</v>
      </c>
      <c r="F69" s="5" t="s">
        <v>10</v>
      </c>
      <c r="G69" s="2" t="s">
        <v>145</v>
      </c>
    </row>
    <row r="70" spans="1:9" x14ac:dyDescent="0.2">
      <c r="A70" s="11">
        <v>58</v>
      </c>
      <c r="B70" s="5" t="s">
        <v>1434</v>
      </c>
      <c r="C70" s="12" t="s">
        <v>1435</v>
      </c>
      <c r="D70" s="5" t="s">
        <v>211</v>
      </c>
      <c r="E70" s="8">
        <v>17</v>
      </c>
      <c r="F70" s="5" t="s">
        <v>10</v>
      </c>
      <c r="G70" s="2" t="s">
        <v>287</v>
      </c>
    </row>
    <row r="71" spans="1:9" x14ac:dyDescent="0.2">
      <c r="A71" s="11">
        <v>59</v>
      </c>
      <c r="B71" s="5" t="s">
        <v>868</v>
      </c>
      <c r="C71" s="11">
        <v>11374156664</v>
      </c>
      <c r="D71" s="5" t="s">
        <v>869</v>
      </c>
      <c r="E71" s="8">
        <v>94.79</v>
      </c>
      <c r="F71" s="5" t="s">
        <v>10</v>
      </c>
      <c r="G71" s="2" t="s">
        <v>23</v>
      </c>
    </row>
    <row r="72" spans="1:9" x14ac:dyDescent="0.2">
      <c r="A72" s="11">
        <v>60</v>
      </c>
      <c r="B72" s="5" t="s">
        <v>405</v>
      </c>
      <c r="C72" s="11">
        <v>38411868043</v>
      </c>
      <c r="D72" s="5" t="s">
        <v>406</v>
      </c>
      <c r="E72" s="8">
        <v>5000</v>
      </c>
      <c r="F72" s="5" t="s">
        <v>10</v>
      </c>
      <c r="G72" s="2" t="s">
        <v>23</v>
      </c>
    </row>
    <row r="73" spans="1:9" x14ac:dyDescent="0.2">
      <c r="A73" s="11">
        <v>61</v>
      </c>
      <c r="B73" s="5" t="s">
        <v>282</v>
      </c>
      <c r="C73" s="11">
        <v>55175013491</v>
      </c>
      <c r="D73" s="5" t="s">
        <v>283</v>
      </c>
      <c r="E73" s="8">
        <f>932.25+403.88</f>
        <v>1336.13</v>
      </c>
      <c r="F73" s="5" t="s">
        <v>10</v>
      </c>
      <c r="G73" s="2" t="s">
        <v>23</v>
      </c>
    </row>
    <row r="74" spans="1:9" x14ac:dyDescent="0.2">
      <c r="A74" s="11">
        <v>62</v>
      </c>
      <c r="B74" s="5" t="s">
        <v>1436</v>
      </c>
      <c r="C74" s="11">
        <v>91943782088</v>
      </c>
      <c r="D74" s="5" t="s">
        <v>1437</v>
      </c>
      <c r="E74" s="8">
        <v>69.38</v>
      </c>
      <c r="F74" s="5" t="s">
        <v>10</v>
      </c>
      <c r="G74" s="2" t="s">
        <v>23</v>
      </c>
    </row>
    <row r="75" spans="1:9" x14ac:dyDescent="0.2">
      <c r="A75" s="11">
        <v>63</v>
      </c>
      <c r="B75" s="5" t="s">
        <v>364</v>
      </c>
      <c r="C75" s="11">
        <v>42769559951</v>
      </c>
      <c r="D75" s="5" t="s">
        <v>365</v>
      </c>
      <c r="E75" s="8">
        <f>15000+5000+7000</f>
        <v>27000</v>
      </c>
      <c r="F75" s="5" t="s">
        <v>10</v>
      </c>
      <c r="G75" s="2" t="s">
        <v>23</v>
      </c>
    </row>
    <row r="76" spans="1:9" x14ac:dyDescent="0.2">
      <c r="A76" s="11">
        <v>64</v>
      </c>
      <c r="B76" s="5" t="s">
        <v>857</v>
      </c>
      <c r="C76" s="11">
        <v>29035933600</v>
      </c>
      <c r="D76" s="5" t="s">
        <v>447</v>
      </c>
      <c r="E76" s="8">
        <v>32.22</v>
      </c>
      <c r="F76" s="5" t="s">
        <v>10</v>
      </c>
      <c r="G76" s="2" t="s">
        <v>263</v>
      </c>
    </row>
    <row r="77" spans="1:9" x14ac:dyDescent="0.2">
      <c r="A77" s="11">
        <v>65</v>
      </c>
      <c r="B77" s="5" t="s">
        <v>979</v>
      </c>
      <c r="C77" s="11">
        <v>43654507669</v>
      </c>
      <c r="D77" s="5" t="s">
        <v>980</v>
      </c>
      <c r="E77" s="8">
        <v>81.36</v>
      </c>
      <c r="F77" s="5" t="s">
        <v>10</v>
      </c>
      <c r="G77" s="2" t="s">
        <v>62</v>
      </c>
    </row>
    <row r="78" spans="1:9" x14ac:dyDescent="0.2">
      <c r="A78" s="11">
        <v>66</v>
      </c>
      <c r="B78" s="5" t="s">
        <v>1438</v>
      </c>
      <c r="C78" s="11">
        <v>82125295985</v>
      </c>
      <c r="D78" s="5" t="s">
        <v>1439</v>
      </c>
      <c r="E78" s="8">
        <v>100.81</v>
      </c>
      <c r="F78" s="5" t="s">
        <v>10</v>
      </c>
      <c r="G78" s="2" t="s">
        <v>23</v>
      </c>
    </row>
    <row r="79" spans="1:9" x14ac:dyDescent="0.2">
      <c r="A79" s="11">
        <v>67</v>
      </c>
      <c r="B79" s="5" t="s">
        <v>157</v>
      </c>
      <c r="C79" s="11" t="s">
        <v>216</v>
      </c>
      <c r="D79" s="5" t="s">
        <v>158</v>
      </c>
      <c r="E79" s="8">
        <v>12250</v>
      </c>
      <c r="F79" s="5" t="s">
        <v>10</v>
      </c>
      <c r="G79" s="2" t="s">
        <v>23</v>
      </c>
    </row>
    <row r="80" spans="1:9" x14ac:dyDescent="0.2">
      <c r="A80" s="11">
        <v>68</v>
      </c>
      <c r="B80" s="5" t="s">
        <v>96</v>
      </c>
      <c r="C80" s="11">
        <v>78997473821</v>
      </c>
      <c r="D80" s="5" t="s">
        <v>98</v>
      </c>
      <c r="E80" s="8">
        <f>89.1+6.32</f>
        <v>95.419999999999987</v>
      </c>
      <c r="F80" s="5" t="s">
        <v>10</v>
      </c>
      <c r="G80" s="2" t="s">
        <v>97</v>
      </c>
    </row>
    <row r="81" spans="1:9" x14ac:dyDescent="0.2">
      <c r="A81" s="11">
        <v>69</v>
      </c>
      <c r="B81" s="5" t="s">
        <v>296</v>
      </c>
      <c r="C81" s="11">
        <v>83416546499</v>
      </c>
      <c r="D81" s="5" t="s">
        <v>299</v>
      </c>
      <c r="E81" s="8">
        <v>37.49</v>
      </c>
      <c r="F81" s="5" t="s">
        <v>10</v>
      </c>
      <c r="G81" s="2" t="s">
        <v>64</v>
      </c>
    </row>
    <row r="82" spans="1:9" x14ac:dyDescent="0.2">
      <c r="A82" s="11">
        <v>70</v>
      </c>
      <c r="B82" s="5" t="s">
        <v>1440</v>
      </c>
      <c r="C82" s="11">
        <v>24411253203</v>
      </c>
      <c r="D82" s="5" t="s">
        <v>1441</v>
      </c>
      <c r="E82" s="8">
        <v>61.51</v>
      </c>
      <c r="F82" s="5" t="s">
        <v>10</v>
      </c>
      <c r="G82" s="2" t="s">
        <v>350</v>
      </c>
    </row>
    <row r="83" spans="1:9" x14ac:dyDescent="0.2">
      <c r="A83" s="11">
        <v>71</v>
      </c>
      <c r="B83" s="5" t="s">
        <v>165</v>
      </c>
      <c r="C83" s="11">
        <v>62534176727</v>
      </c>
      <c r="D83" s="5" t="s">
        <v>222</v>
      </c>
      <c r="E83" s="8">
        <f>3732.25+2062.5+1700.96</f>
        <v>7495.71</v>
      </c>
      <c r="F83" s="5" t="s">
        <v>10</v>
      </c>
      <c r="G83" s="2" t="s">
        <v>23</v>
      </c>
    </row>
    <row r="84" spans="1:9" x14ac:dyDescent="0.2">
      <c r="A84" s="11">
        <v>72</v>
      </c>
      <c r="B84" s="5" t="s">
        <v>170</v>
      </c>
      <c r="C84" s="11">
        <v>52233171260</v>
      </c>
      <c r="D84" s="5" t="s">
        <v>224</v>
      </c>
      <c r="E84" s="15">
        <f>28+5138.85</f>
        <v>5166.8500000000004</v>
      </c>
      <c r="F84" s="19" t="s">
        <v>10</v>
      </c>
      <c r="G84" s="28" t="s">
        <v>23</v>
      </c>
    </row>
    <row r="85" spans="1:9" x14ac:dyDescent="0.2">
      <c r="A85" s="11">
        <v>73</v>
      </c>
      <c r="B85" s="23" t="s">
        <v>168</v>
      </c>
      <c r="C85" s="24">
        <v>87682591133</v>
      </c>
      <c r="D85" s="23" t="s">
        <v>223</v>
      </c>
      <c r="E85" s="15">
        <v>6027.28</v>
      </c>
      <c r="F85" s="23" t="s">
        <v>10</v>
      </c>
      <c r="G85" s="28" t="s">
        <v>23</v>
      </c>
      <c r="I85" s="13"/>
    </row>
    <row r="86" spans="1:9" x14ac:dyDescent="0.2">
      <c r="A86" s="11">
        <v>74</v>
      </c>
      <c r="B86" s="50" t="s">
        <v>169</v>
      </c>
      <c r="C86" s="11">
        <v>19849957757</v>
      </c>
      <c r="D86" s="50" t="s">
        <v>225</v>
      </c>
      <c r="E86" s="8">
        <f>2283.2+8431.94</f>
        <v>10715.14</v>
      </c>
      <c r="F86" s="50" t="s">
        <v>10</v>
      </c>
      <c r="G86" s="2" t="s">
        <v>23</v>
      </c>
    </row>
    <row r="87" spans="1:9" x14ac:dyDescent="0.2">
      <c r="A87" s="11">
        <v>75</v>
      </c>
      <c r="B87" s="5" t="s">
        <v>1442</v>
      </c>
      <c r="C87" s="11">
        <v>50697070495</v>
      </c>
      <c r="D87" s="5" t="s">
        <v>1443</v>
      </c>
      <c r="E87" s="17">
        <v>247.5</v>
      </c>
      <c r="F87" s="33" t="s">
        <v>10</v>
      </c>
      <c r="G87" s="34" t="s">
        <v>23</v>
      </c>
    </row>
    <row r="88" spans="1:9" x14ac:dyDescent="0.2">
      <c r="A88" s="11">
        <v>76</v>
      </c>
      <c r="B88" s="5" t="s">
        <v>730</v>
      </c>
      <c r="C88" s="11">
        <v>85821130368</v>
      </c>
      <c r="D88" s="5" t="s">
        <v>731</v>
      </c>
      <c r="E88" s="8">
        <v>16.600000000000001</v>
      </c>
      <c r="F88" s="27" t="s">
        <v>10</v>
      </c>
      <c r="G88" s="2" t="s">
        <v>176</v>
      </c>
    </row>
    <row r="89" spans="1:9" x14ac:dyDescent="0.2">
      <c r="A89" s="11">
        <v>77</v>
      </c>
      <c r="B89" s="5" t="s">
        <v>1444</v>
      </c>
      <c r="C89" s="11">
        <v>100182143</v>
      </c>
      <c r="D89" s="5" t="s">
        <v>1445</v>
      </c>
      <c r="E89" s="8">
        <v>6156</v>
      </c>
      <c r="F89" s="5" t="s">
        <v>10</v>
      </c>
      <c r="G89" s="2" t="s">
        <v>23</v>
      </c>
    </row>
    <row r="90" spans="1:9" x14ac:dyDescent="0.2">
      <c r="A90" s="11">
        <v>78</v>
      </c>
      <c r="B90" s="5" t="s">
        <v>1446</v>
      </c>
      <c r="C90" s="11" t="s">
        <v>1447</v>
      </c>
      <c r="D90" s="5" t="s">
        <v>1448</v>
      </c>
      <c r="E90" s="8">
        <v>8771.1299999999992</v>
      </c>
      <c r="F90" s="5" t="s">
        <v>10</v>
      </c>
      <c r="G90" s="2" t="s">
        <v>23</v>
      </c>
    </row>
    <row r="91" spans="1:9" x14ac:dyDescent="0.2">
      <c r="A91" s="11">
        <v>79</v>
      </c>
      <c r="B91" s="5" t="s">
        <v>17</v>
      </c>
      <c r="C91" s="11" t="s">
        <v>17</v>
      </c>
      <c r="D91" s="5" t="s">
        <v>17</v>
      </c>
      <c r="E91" s="8">
        <f>1400+1400</f>
        <v>2800</v>
      </c>
      <c r="F91" s="5" t="s">
        <v>10</v>
      </c>
      <c r="G91" s="2" t="s">
        <v>177</v>
      </c>
    </row>
    <row r="92" spans="1:9" x14ac:dyDescent="0.2">
      <c r="A92" s="11">
        <v>80</v>
      </c>
      <c r="B92" s="19" t="s">
        <v>17</v>
      </c>
      <c r="C92" s="36" t="s">
        <v>17</v>
      </c>
      <c r="D92" s="19" t="s">
        <v>17</v>
      </c>
      <c r="E92" s="15">
        <v>2607.34</v>
      </c>
      <c r="F92" s="19" t="s">
        <v>10</v>
      </c>
      <c r="G92" s="28" t="s">
        <v>178</v>
      </c>
    </row>
    <row r="93" spans="1:9" x14ac:dyDescent="0.2">
      <c r="A93" s="11">
        <v>81</v>
      </c>
      <c r="B93" s="5" t="s">
        <v>187</v>
      </c>
      <c r="C93" s="11">
        <v>22694857747</v>
      </c>
      <c r="D93" s="5" t="s">
        <v>239</v>
      </c>
      <c r="E93" s="8">
        <f>519.66+270.41</f>
        <v>790.06999999999994</v>
      </c>
      <c r="F93" s="5" t="s">
        <v>10</v>
      </c>
      <c r="G93" s="2" t="s">
        <v>188</v>
      </c>
    </row>
    <row r="94" spans="1:9" x14ac:dyDescent="0.2">
      <c r="A94" s="11">
        <v>82</v>
      </c>
      <c r="B94" s="5" t="s">
        <v>230</v>
      </c>
      <c r="C94" s="11">
        <v>62969535840</v>
      </c>
      <c r="D94" s="5" t="s">
        <v>231</v>
      </c>
      <c r="E94" s="20">
        <f>693.89+455.71</f>
        <v>1149.5999999999999</v>
      </c>
      <c r="F94" s="40" t="s">
        <v>10</v>
      </c>
      <c r="G94" s="41" t="s">
        <v>23</v>
      </c>
    </row>
    <row r="95" spans="1:9" x14ac:dyDescent="0.2">
      <c r="A95" s="11">
        <v>83</v>
      </c>
      <c r="B95" s="5" t="s">
        <v>704</v>
      </c>
      <c r="C95" s="11">
        <v>11294943436</v>
      </c>
      <c r="D95" s="5" t="s">
        <v>705</v>
      </c>
      <c r="E95" s="8">
        <v>76.53</v>
      </c>
      <c r="F95" s="5" t="s">
        <v>10</v>
      </c>
      <c r="G95" s="2" t="s">
        <v>112</v>
      </c>
    </row>
    <row r="96" spans="1:9" x14ac:dyDescent="0.2">
      <c r="A96" s="11">
        <v>84</v>
      </c>
      <c r="B96" s="5" t="s">
        <v>676</v>
      </c>
      <c r="C96" s="11" t="s">
        <v>677</v>
      </c>
      <c r="D96" s="5" t="s">
        <v>678</v>
      </c>
      <c r="E96" s="8">
        <v>14.06</v>
      </c>
      <c r="F96" s="5" t="s">
        <v>10</v>
      </c>
      <c r="G96" s="2" t="s">
        <v>23</v>
      </c>
    </row>
    <row r="97" spans="1:9" x14ac:dyDescent="0.2">
      <c r="A97" s="11">
        <v>85</v>
      </c>
      <c r="B97" s="5" t="s">
        <v>17</v>
      </c>
      <c r="C97" s="11" t="s">
        <v>17</v>
      </c>
      <c r="D97" s="5" t="s">
        <v>17</v>
      </c>
      <c r="E97" s="8">
        <v>56.64</v>
      </c>
      <c r="F97" s="5" t="s">
        <v>10</v>
      </c>
      <c r="G97" s="2" t="s">
        <v>635</v>
      </c>
    </row>
    <row r="98" spans="1:9" x14ac:dyDescent="0.2">
      <c r="A98" s="11">
        <v>86</v>
      </c>
      <c r="B98" s="5" t="s">
        <v>17</v>
      </c>
      <c r="C98" s="11" t="s">
        <v>17</v>
      </c>
      <c r="D98" s="5" t="s">
        <v>17</v>
      </c>
      <c r="E98" s="8">
        <v>413.44</v>
      </c>
      <c r="F98" s="5" t="s">
        <v>10</v>
      </c>
      <c r="G98" s="2" t="s">
        <v>194</v>
      </c>
    </row>
    <row r="99" spans="1:9" x14ac:dyDescent="0.2">
      <c r="A99" s="11">
        <v>87</v>
      </c>
      <c r="B99" s="5" t="s">
        <v>242</v>
      </c>
      <c r="C99" s="11">
        <v>49800593791</v>
      </c>
      <c r="D99" s="5" t="s">
        <v>244</v>
      </c>
      <c r="E99" s="8">
        <f>266.89+525+3304.81+6814.9</f>
        <v>10911.599999999999</v>
      </c>
      <c r="F99" s="5" t="s">
        <v>10</v>
      </c>
      <c r="G99" s="2" t="s">
        <v>243</v>
      </c>
    </row>
    <row r="100" spans="1:9" x14ac:dyDescent="0.2">
      <c r="A100" s="11">
        <v>88</v>
      </c>
      <c r="B100" s="5" t="s">
        <v>658</v>
      </c>
      <c r="C100" s="11">
        <v>24846301629</v>
      </c>
      <c r="D100" s="5" t="s">
        <v>659</v>
      </c>
      <c r="E100" s="15">
        <v>209.51</v>
      </c>
      <c r="F100" s="19" t="s">
        <v>10</v>
      </c>
      <c r="G100" s="28" t="s">
        <v>23</v>
      </c>
      <c r="H100" s="13"/>
    </row>
    <row r="101" spans="1:9" x14ac:dyDescent="0.2">
      <c r="A101" s="11">
        <v>89</v>
      </c>
      <c r="B101" s="44" t="s">
        <v>248</v>
      </c>
      <c r="C101" s="45">
        <v>47428597158</v>
      </c>
      <c r="D101" s="44" t="s">
        <v>250</v>
      </c>
      <c r="E101" s="8">
        <f>241.79</f>
        <v>241.79</v>
      </c>
      <c r="F101" s="44" t="s">
        <v>10</v>
      </c>
      <c r="G101" s="2" t="s">
        <v>23</v>
      </c>
      <c r="I101" s="13"/>
    </row>
    <row r="102" spans="1:9" x14ac:dyDescent="0.2">
      <c r="A102" s="11">
        <v>90</v>
      </c>
      <c r="B102" s="5" t="s">
        <v>252</v>
      </c>
      <c r="C102" s="12" t="s">
        <v>254</v>
      </c>
      <c r="D102" s="5" t="s">
        <v>253</v>
      </c>
      <c r="E102" s="8">
        <v>289.16000000000003</v>
      </c>
      <c r="F102" s="5" t="s">
        <v>10</v>
      </c>
      <c r="G102" s="2" t="s">
        <v>112</v>
      </c>
    </row>
    <row r="103" spans="1:9" x14ac:dyDescent="0.2">
      <c r="A103" s="11">
        <v>91</v>
      </c>
      <c r="B103" s="5" t="s">
        <v>257</v>
      </c>
      <c r="C103" s="11">
        <v>25392808959</v>
      </c>
      <c r="D103" s="5" t="s">
        <v>258</v>
      </c>
      <c r="E103" s="8">
        <f>13548.31+10000</f>
        <v>23548.309999999998</v>
      </c>
      <c r="F103" s="5" t="s">
        <v>10</v>
      </c>
      <c r="G103" s="2" t="s">
        <v>23</v>
      </c>
      <c r="I103" s="13"/>
    </row>
    <row r="104" spans="1:9" x14ac:dyDescent="0.2">
      <c r="A104" s="11">
        <v>92</v>
      </c>
      <c r="B104" s="5" t="s">
        <v>1070</v>
      </c>
      <c r="C104" s="11">
        <v>73294314024</v>
      </c>
      <c r="D104" s="5" t="s">
        <v>675</v>
      </c>
      <c r="E104" s="8">
        <v>427.76</v>
      </c>
      <c r="F104" s="5" t="s">
        <v>10</v>
      </c>
      <c r="G104" s="2" t="s">
        <v>662</v>
      </c>
    </row>
    <row r="105" spans="1:9" x14ac:dyDescent="0.2">
      <c r="A105" s="11">
        <v>93</v>
      </c>
      <c r="B105" s="5" t="s">
        <v>13</v>
      </c>
      <c r="C105" s="11">
        <v>90275854576</v>
      </c>
      <c r="D105" s="5" t="s">
        <v>28</v>
      </c>
      <c r="E105" s="8">
        <v>1097.56</v>
      </c>
      <c r="F105" s="5" t="s">
        <v>10</v>
      </c>
      <c r="G105" s="2" t="s">
        <v>1449</v>
      </c>
    </row>
    <row r="106" spans="1:9" x14ac:dyDescent="0.2">
      <c r="A106" s="11">
        <v>94</v>
      </c>
      <c r="B106" s="5" t="s">
        <v>265</v>
      </c>
      <c r="C106" s="11">
        <v>63988426425</v>
      </c>
      <c r="D106" s="5" t="s">
        <v>266</v>
      </c>
      <c r="E106" s="8">
        <f>101.54+981.34</f>
        <v>1082.8800000000001</v>
      </c>
      <c r="F106" s="5" t="s">
        <v>10</v>
      </c>
      <c r="G106" s="2" t="s">
        <v>23</v>
      </c>
    </row>
    <row r="107" spans="1:9" x14ac:dyDescent="0.2">
      <c r="A107" s="11">
        <v>95</v>
      </c>
      <c r="B107" s="5" t="s">
        <v>1150</v>
      </c>
      <c r="C107" s="11">
        <v>75989437093</v>
      </c>
      <c r="D107" s="5" t="s">
        <v>1151</v>
      </c>
      <c r="E107" s="8">
        <v>240.75</v>
      </c>
      <c r="F107" s="5" t="s">
        <v>10</v>
      </c>
      <c r="G107" s="2" t="s">
        <v>23</v>
      </c>
    </row>
    <row r="108" spans="1:9" x14ac:dyDescent="0.2">
      <c r="A108" s="11">
        <v>96</v>
      </c>
      <c r="B108" s="23" t="s">
        <v>131</v>
      </c>
      <c r="C108" s="24">
        <v>70133616033</v>
      </c>
      <c r="D108" s="23" t="s">
        <v>134</v>
      </c>
      <c r="E108" s="8">
        <v>2062.2600000000002</v>
      </c>
      <c r="F108" s="5" t="s">
        <v>10</v>
      </c>
      <c r="G108" s="2" t="s">
        <v>292</v>
      </c>
    </row>
    <row r="109" spans="1:9" x14ac:dyDescent="0.2">
      <c r="A109" s="11">
        <v>97</v>
      </c>
      <c r="B109" s="50" t="s">
        <v>293</v>
      </c>
      <c r="C109" s="45">
        <v>65952859647</v>
      </c>
      <c r="D109" s="44" t="s">
        <v>295</v>
      </c>
      <c r="E109" s="8">
        <v>15031.25</v>
      </c>
      <c r="F109" s="50" t="s">
        <v>10</v>
      </c>
      <c r="G109" s="2" t="s">
        <v>23</v>
      </c>
    </row>
    <row r="110" spans="1:9" x14ac:dyDescent="0.2">
      <c r="A110" s="11">
        <v>98</v>
      </c>
      <c r="B110" s="5" t="s">
        <v>284</v>
      </c>
      <c r="C110" s="11">
        <v>10235187780</v>
      </c>
      <c r="D110" s="5" t="s">
        <v>286</v>
      </c>
      <c r="E110" s="8">
        <v>354.3</v>
      </c>
      <c r="F110" s="5" t="s">
        <v>10</v>
      </c>
      <c r="G110" s="2" t="s">
        <v>285</v>
      </c>
    </row>
    <row r="111" spans="1:9" x14ac:dyDescent="0.2">
      <c r="A111" s="11">
        <v>99</v>
      </c>
      <c r="B111" s="5" t="s">
        <v>301</v>
      </c>
      <c r="C111" s="11">
        <v>60314119747</v>
      </c>
      <c r="D111" s="5" t="s">
        <v>298</v>
      </c>
      <c r="E111" s="8">
        <f>11000+56518.81+33207.6</f>
        <v>100726.41</v>
      </c>
      <c r="F111" s="5" t="s">
        <v>10</v>
      </c>
      <c r="G111" s="2" t="s">
        <v>23</v>
      </c>
    </row>
    <row r="112" spans="1:9" x14ac:dyDescent="0.2">
      <c r="A112" s="11">
        <v>100</v>
      </c>
      <c r="B112" s="5" t="s">
        <v>83</v>
      </c>
      <c r="C112" s="11">
        <v>68419124305</v>
      </c>
      <c r="D112" s="5" t="s">
        <v>84</v>
      </c>
      <c r="E112" s="8">
        <v>106.2</v>
      </c>
      <c r="F112" s="5" t="s">
        <v>10</v>
      </c>
      <c r="G112" s="2" t="s">
        <v>82</v>
      </c>
    </row>
    <row r="113" spans="1:10" x14ac:dyDescent="0.2">
      <c r="A113" s="11">
        <v>101</v>
      </c>
      <c r="B113" s="5" t="s">
        <v>308</v>
      </c>
      <c r="C113" s="12" t="s">
        <v>310</v>
      </c>
      <c r="D113" s="5" t="s">
        <v>309</v>
      </c>
      <c r="E113" s="8">
        <f>1312.5</f>
        <v>1312.5</v>
      </c>
      <c r="F113" s="5" t="s">
        <v>10</v>
      </c>
      <c r="G113" s="2" t="s">
        <v>23</v>
      </c>
    </row>
    <row r="114" spans="1:10" x14ac:dyDescent="0.2">
      <c r="A114" s="11">
        <v>102</v>
      </c>
      <c r="B114" s="5" t="s">
        <v>311</v>
      </c>
      <c r="C114" s="11">
        <v>95243482140</v>
      </c>
      <c r="D114" s="5" t="s">
        <v>312</v>
      </c>
      <c r="E114" s="8">
        <f>25.2+1063.69+90.63+66.25</f>
        <v>1245.77</v>
      </c>
      <c r="F114" s="5" t="s">
        <v>10</v>
      </c>
      <c r="G114" s="2" t="s">
        <v>23</v>
      </c>
    </row>
    <row r="115" spans="1:10" x14ac:dyDescent="0.2">
      <c r="A115" s="11">
        <v>103</v>
      </c>
      <c r="B115" s="5" t="s">
        <v>315</v>
      </c>
      <c r="C115" s="11">
        <v>98656691838</v>
      </c>
      <c r="D115" s="5" t="s">
        <v>316</v>
      </c>
      <c r="E115" s="8">
        <v>3166.25</v>
      </c>
      <c r="F115" s="5" t="s">
        <v>10</v>
      </c>
      <c r="G115" s="2" t="s">
        <v>23</v>
      </c>
    </row>
    <row r="116" spans="1:10" x14ac:dyDescent="0.2">
      <c r="A116" s="11">
        <v>104</v>
      </c>
      <c r="B116" s="5" t="s">
        <v>321</v>
      </c>
      <c r="C116" s="11">
        <v>66346732180</v>
      </c>
      <c r="D116" s="5" t="s">
        <v>322</v>
      </c>
      <c r="E116" s="8">
        <v>118.75</v>
      </c>
      <c r="F116" s="5" t="s">
        <v>10</v>
      </c>
      <c r="G116" s="2" t="s">
        <v>243</v>
      </c>
    </row>
    <row r="117" spans="1:10" x14ac:dyDescent="0.2">
      <c r="A117" s="11">
        <v>105</v>
      </c>
      <c r="B117" s="5" t="s">
        <v>323</v>
      </c>
      <c r="C117" s="11">
        <v>15907062900</v>
      </c>
      <c r="D117" s="5" t="s">
        <v>325</v>
      </c>
      <c r="E117" s="8">
        <v>2692.33</v>
      </c>
      <c r="F117" s="5" t="s">
        <v>10</v>
      </c>
      <c r="G117" s="2" t="s">
        <v>324</v>
      </c>
    </row>
    <row r="118" spans="1:10" x14ac:dyDescent="0.2">
      <c r="A118" s="11">
        <v>106</v>
      </c>
      <c r="B118" s="5" t="s">
        <v>1011</v>
      </c>
      <c r="C118" s="11">
        <v>57270798205</v>
      </c>
      <c r="D118" s="5" t="s">
        <v>1012</v>
      </c>
      <c r="E118" s="8">
        <f>498.56+995.5</f>
        <v>1494.06</v>
      </c>
      <c r="F118" s="5" t="s">
        <v>10</v>
      </c>
      <c r="G118" s="2" t="s">
        <v>12</v>
      </c>
    </row>
    <row r="119" spans="1:10" x14ac:dyDescent="0.2">
      <c r="A119" s="11">
        <v>107</v>
      </c>
      <c r="B119" s="5" t="s">
        <v>88</v>
      </c>
      <c r="C119" s="11">
        <v>42889250808</v>
      </c>
      <c r="D119" s="5" t="s">
        <v>90</v>
      </c>
      <c r="E119" s="8">
        <v>75.39</v>
      </c>
      <c r="F119" s="5" t="s">
        <v>10</v>
      </c>
      <c r="G119" s="2" t="s">
        <v>86</v>
      </c>
    </row>
    <row r="120" spans="1:10" x14ac:dyDescent="0.2">
      <c r="A120" s="11">
        <v>108</v>
      </c>
      <c r="B120" s="5" t="s">
        <v>174</v>
      </c>
      <c r="C120" s="11">
        <v>79517545745</v>
      </c>
      <c r="D120" s="5" t="s">
        <v>227</v>
      </c>
      <c r="E120" s="8">
        <v>60.84</v>
      </c>
      <c r="F120" s="5" t="s">
        <v>10</v>
      </c>
      <c r="G120" s="2" t="s">
        <v>176</v>
      </c>
    </row>
    <row r="121" spans="1:10" x14ac:dyDescent="0.2">
      <c r="A121" s="11">
        <v>109</v>
      </c>
      <c r="B121" s="5" t="s">
        <v>341</v>
      </c>
      <c r="C121" s="11">
        <v>78969071801</v>
      </c>
      <c r="D121" s="5" t="s">
        <v>342</v>
      </c>
      <c r="E121" s="8">
        <f>800.84+480.9+473.13</f>
        <v>1754.87</v>
      </c>
      <c r="F121" s="5" t="s">
        <v>10</v>
      </c>
      <c r="G121" s="2" t="s">
        <v>23</v>
      </c>
      <c r="J121" s="13"/>
    </row>
    <row r="122" spans="1:10" x14ac:dyDescent="0.2">
      <c r="A122" s="11">
        <v>110</v>
      </c>
      <c r="B122" s="5" t="s">
        <v>432</v>
      </c>
      <c r="C122" s="11">
        <v>48633701387</v>
      </c>
      <c r="D122" s="5" t="s">
        <v>433</v>
      </c>
      <c r="E122" s="8">
        <v>204.48</v>
      </c>
      <c r="F122" s="5" t="s">
        <v>10</v>
      </c>
      <c r="G122" s="2" t="s">
        <v>23</v>
      </c>
    </row>
    <row r="123" spans="1:10" x14ac:dyDescent="0.2">
      <c r="A123" s="11">
        <v>111</v>
      </c>
      <c r="B123" s="5" t="s">
        <v>374</v>
      </c>
      <c r="C123" s="11">
        <v>48249084626</v>
      </c>
      <c r="D123" s="5" t="s">
        <v>375</v>
      </c>
      <c r="E123" s="8">
        <v>73.92</v>
      </c>
      <c r="F123" s="5" t="s">
        <v>10</v>
      </c>
      <c r="G123" s="2" t="s">
        <v>23</v>
      </c>
    </row>
    <row r="124" spans="1:10" x14ac:dyDescent="0.2">
      <c r="A124" s="11">
        <v>112</v>
      </c>
      <c r="B124" s="5" t="s">
        <v>372</v>
      </c>
      <c r="C124" s="11">
        <v>64021574271</v>
      </c>
      <c r="D124" s="5" t="s">
        <v>373</v>
      </c>
      <c r="E124" s="8">
        <f>1091.3</f>
        <v>1091.3</v>
      </c>
      <c r="F124" s="5" t="s">
        <v>10</v>
      </c>
      <c r="G124" s="2" t="s">
        <v>23</v>
      </c>
    </row>
    <row r="125" spans="1:10" x14ac:dyDescent="0.2">
      <c r="A125" s="11">
        <v>113</v>
      </c>
      <c r="B125" s="5" t="s">
        <v>386</v>
      </c>
      <c r="C125" s="11">
        <v>60365429880</v>
      </c>
      <c r="D125" s="5" t="s">
        <v>387</v>
      </c>
      <c r="E125" s="8">
        <f>1223.26+364.38</f>
        <v>1587.6399999999999</v>
      </c>
      <c r="F125" s="5" t="s">
        <v>10</v>
      </c>
      <c r="G125" s="2" t="s">
        <v>23</v>
      </c>
    </row>
    <row r="126" spans="1:10" x14ac:dyDescent="0.2">
      <c r="A126" s="11">
        <v>114</v>
      </c>
      <c r="B126" s="5" t="s">
        <v>391</v>
      </c>
      <c r="C126" s="11">
        <v>37879152548</v>
      </c>
      <c r="D126" s="5" t="s">
        <v>392</v>
      </c>
      <c r="E126" s="8">
        <f>2233.43+681.75</f>
        <v>2915.18</v>
      </c>
      <c r="F126" s="5" t="s">
        <v>10</v>
      </c>
      <c r="G126" s="2" t="s">
        <v>23</v>
      </c>
    </row>
    <row r="127" spans="1:10" x14ac:dyDescent="0.2">
      <c r="A127" s="11">
        <v>115</v>
      </c>
      <c r="B127" s="5" t="s">
        <v>459</v>
      </c>
      <c r="C127" s="11">
        <v>64008199572</v>
      </c>
      <c r="D127" s="5" t="s">
        <v>460</v>
      </c>
      <c r="E127" s="8">
        <v>1863.01</v>
      </c>
      <c r="F127" s="5" t="s">
        <v>10</v>
      </c>
      <c r="G127" s="2" t="s">
        <v>23</v>
      </c>
    </row>
    <row r="128" spans="1:10" x14ac:dyDescent="0.2">
      <c r="A128" s="11">
        <v>116</v>
      </c>
      <c r="B128" s="5" t="s">
        <v>395</v>
      </c>
      <c r="C128" s="11">
        <v>39048902955</v>
      </c>
      <c r="D128" s="5" t="s">
        <v>396</v>
      </c>
      <c r="E128" s="8">
        <v>609.54999999999995</v>
      </c>
      <c r="F128" s="5" t="s">
        <v>10</v>
      </c>
      <c r="G128" s="2" t="s">
        <v>64</v>
      </c>
    </row>
    <row r="129" spans="1:7" x14ac:dyDescent="0.2">
      <c r="A129" s="11">
        <v>117</v>
      </c>
      <c r="B129" s="5" t="s">
        <v>397</v>
      </c>
      <c r="C129" s="11">
        <v>85375838060</v>
      </c>
      <c r="D129" s="5" t="s">
        <v>398</v>
      </c>
      <c r="E129" s="8">
        <f>285.5+28.55</f>
        <v>314.05</v>
      </c>
      <c r="F129" s="5" t="s">
        <v>10</v>
      </c>
      <c r="G129" s="2" t="s">
        <v>64</v>
      </c>
    </row>
    <row r="130" spans="1:7" x14ac:dyDescent="0.2">
      <c r="A130" s="11">
        <v>118</v>
      </c>
      <c r="B130" s="5" t="s">
        <v>401</v>
      </c>
      <c r="C130" s="11">
        <v>55614719992</v>
      </c>
      <c r="D130" s="5" t="s">
        <v>402</v>
      </c>
      <c r="E130" s="8">
        <f>27.83+22.29</f>
        <v>50.12</v>
      </c>
      <c r="F130" s="5" t="s">
        <v>10</v>
      </c>
      <c r="G130" s="2" t="s">
        <v>23</v>
      </c>
    </row>
    <row r="131" spans="1:7" x14ac:dyDescent="0.2">
      <c r="A131" s="11">
        <v>119</v>
      </c>
      <c r="B131" s="5" t="s">
        <v>1192</v>
      </c>
      <c r="C131" s="11">
        <v>14273924910</v>
      </c>
      <c r="D131" s="5" t="s">
        <v>228</v>
      </c>
      <c r="E131" s="8">
        <v>483.75</v>
      </c>
      <c r="F131" s="5" t="s">
        <v>10</v>
      </c>
      <c r="G131" s="2" t="s">
        <v>176</v>
      </c>
    </row>
    <row r="132" spans="1:7" x14ac:dyDescent="0.2">
      <c r="A132" s="11">
        <v>120</v>
      </c>
      <c r="B132" s="5" t="s">
        <v>439</v>
      </c>
      <c r="C132" s="11">
        <v>48841983787</v>
      </c>
      <c r="D132" s="5" t="s">
        <v>440</v>
      </c>
      <c r="E132" s="8">
        <f>3340.25+752.25</f>
        <v>4092.5</v>
      </c>
      <c r="F132" s="5" t="s">
        <v>10</v>
      </c>
      <c r="G132" s="2" t="s">
        <v>23</v>
      </c>
    </row>
    <row r="133" spans="1:7" x14ac:dyDescent="0.2">
      <c r="A133" s="11">
        <v>121</v>
      </c>
      <c r="B133" s="5" t="s">
        <v>661</v>
      </c>
      <c r="C133" s="11">
        <v>28370392421</v>
      </c>
      <c r="D133" s="5" t="s">
        <v>660</v>
      </c>
      <c r="E133" s="8">
        <v>242.01</v>
      </c>
      <c r="F133" s="5" t="s">
        <v>10</v>
      </c>
      <c r="G133" s="2" t="s">
        <v>662</v>
      </c>
    </row>
    <row r="134" spans="1:7" x14ac:dyDescent="0.2">
      <c r="A134" s="11">
        <v>122</v>
      </c>
      <c r="B134" s="5" t="s">
        <v>137</v>
      </c>
      <c r="C134" s="12" t="s">
        <v>200</v>
      </c>
      <c r="D134" s="5" t="s">
        <v>201</v>
      </c>
      <c r="E134" s="8">
        <v>269.02</v>
      </c>
      <c r="F134" s="5" t="s">
        <v>10</v>
      </c>
      <c r="G134" s="2" t="s">
        <v>112</v>
      </c>
    </row>
    <row r="135" spans="1:7" x14ac:dyDescent="0.2">
      <c r="A135" s="11">
        <v>123</v>
      </c>
      <c r="B135" s="5" t="s">
        <v>259</v>
      </c>
      <c r="C135" s="11">
        <v>46289034988</v>
      </c>
      <c r="D135" s="5" t="s">
        <v>261</v>
      </c>
      <c r="E135" s="8">
        <v>4169.03</v>
      </c>
      <c r="F135" s="5" t="s">
        <v>10</v>
      </c>
      <c r="G135" s="2" t="s">
        <v>260</v>
      </c>
    </row>
    <row r="136" spans="1:7" x14ac:dyDescent="0.2">
      <c r="A136" s="11">
        <v>124</v>
      </c>
      <c r="B136" s="5" t="s">
        <v>1277</v>
      </c>
      <c r="C136" s="11">
        <v>92712381028</v>
      </c>
      <c r="D136" s="5" t="s">
        <v>1278</v>
      </c>
      <c r="E136" s="8">
        <v>148.08000000000001</v>
      </c>
      <c r="F136" s="5" t="s">
        <v>10</v>
      </c>
      <c r="G136" s="2" t="s">
        <v>23</v>
      </c>
    </row>
    <row r="137" spans="1:7" x14ac:dyDescent="0.2">
      <c r="A137" s="11">
        <v>125</v>
      </c>
      <c r="B137" s="5" t="s">
        <v>1284</v>
      </c>
      <c r="C137" s="11" t="s">
        <v>1285</v>
      </c>
      <c r="D137" s="5" t="s">
        <v>1286</v>
      </c>
      <c r="E137" s="8">
        <v>4100</v>
      </c>
      <c r="F137" s="5" t="s">
        <v>10</v>
      </c>
      <c r="G137" s="2" t="s">
        <v>23</v>
      </c>
    </row>
    <row r="138" spans="1:7" x14ac:dyDescent="0.2">
      <c r="A138" s="11">
        <v>126</v>
      </c>
      <c r="B138" s="5" t="s">
        <v>382</v>
      </c>
      <c r="C138" s="11">
        <v>76080865307</v>
      </c>
      <c r="D138" s="5" t="s">
        <v>383</v>
      </c>
      <c r="E138" s="8">
        <v>41.36</v>
      </c>
      <c r="F138" s="5" t="s">
        <v>10</v>
      </c>
      <c r="G138" s="2" t="s">
        <v>287</v>
      </c>
    </row>
    <row r="139" spans="1:7" x14ac:dyDescent="0.2">
      <c r="A139" s="11">
        <v>127</v>
      </c>
      <c r="B139" s="5" t="s">
        <v>332</v>
      </c>
      <c r="C139" s="12" t="s">
        <v>334</v>
      </c>
      <c r="D139" s="5" t="s">
        <v>333</v>
      </c>
      <c r="E139" s="8">
        <f>57.84+265+116.68</f>
        <v>439.52000000000004</v>
      </c>
      <c r="F139" s="5" t="s">
        <v>10</v>
      </c>
      <c r="G139" s="2" t="s">
        <v>330</v>
      </c>
    </row>
    <row r="140" spans="1:7" x14ac:dyDescent="0.2">
      <c r="A140" s="11">
        <v>128</v>
      </c>
      <c r="B140" s="5" t="s">
        <v>555</v>
      </c>
      <c r="C140" s="11">
        <v>56733014701</v>
      </c>
      <c r="D140" s="5" t="s">
        <v>556</v>
      </c>
      <c r="E140" s="8">
        <v>2778</v>
      </c>
      <c r="F140" s="5" t="s">
        <v>10</v>
      </c>
      <c r="G140" s="2" t="s">
        <v>23</v>
      </c>
    </row>
    <row r="141" spans="1:7" x14ac:dyDescent="0.2">
      <c r="A141" s="11">
        <v>129</v>
      </c>
      <c r="B141" s="5" t="s">
        <v>136</v>
      </c>
      <c r="C141" s="11">
        <v>70467048139</v>
      </c>
      <c r="D141" s="5" t="s">
        <v>199</v>
      </c>
      <c r="E141" s="8">
        <v>33.28</v>
      </c>
      <c r="F141" s="5" t="s">
        <v>10</v>
      </c>
      <c r="G141" s="2" t="s">
        <v>112</v>
      </c>
    </row>
    <row r="142" spans="1:7" x14ac:dyDescent="0.2">
      <c r="A142" s="11">
        <v>130</v>
      </c>
      <c r="B142" s="5" t="s">
        <v>1025</v>
      </c>
      <c r="C142" s="11" t="s">
        <v>1026</v>
      </c>
      <c r="D142" s="5" t="s">
        <v>1027</v>
      </c>
      <c r="E142" s="8">
        <v>2215.88</v>
      </c>
      <c r="F142" s="5" t="s">
        <v>10</v>
      </c>
      <c r="G142" s="2" t="s">
        <v>23</v>
      </c>
    </row>
    <row r="143" spans="1:7" x14ac:dyDescent="0.2">
      <c r="A143" s="11">
        <v>131</v>
      </c>
      <c r="B143" s="5" t="s">
        <v>1316</v>
      </c>
      <c r="C143" s="11">
        <v>86648038250</v>
      </c>
      <c r="D143" s="5" t="s">
        <v>961</v>
      </c>
      <c r="E143" s="8">
        <v>81.25</v>
      </c>
      <c r="F143" s="5" t="s">
        <v>10</v>
      </c>
      <c r="G143" s="2" t="s">
        <v>118</v>
      </c>
    </row>
    <row r="144" spans="1:7" x14ac:dyDescent="0.2">
      <c r="A144" s="11">
        <v>132</v>
      </c>
      <c r="B144" s="5" t="s">
        <v>571</v>
      </c>
      <c r="C144" s="11">
        <v>75202805533</v>
      </c>
      <c r="D144" s="5" t="s">
        <v>588</v>
      </c>
      <c r="E144" s="8">
        <v>68.42</v>
      </c>
      <c r="F144" s="5" t="s">
        <v>10</v>
      </c>
      <c r="G144" s="2" t="s">
        <v>23</v>
      </c>
    </row>
    <row r="145" spans="1:7" ht="12.75" thickBot="1" x14ac:dyDescent="0.25">
      <c r="A145" s="11">
        <v>133</v>
      </c>
      <c r="B145" s="5" t="s">
        <v>771</v>
      </c>
      <c r="C145" s="11">
        <v>92378435625</v>
      </c>
      <c r="D145" s="5" t="s">
        <v>772</v>
      </c>
      <c r="E145" s="8">
        <f>84.38+71.89+70</f>
        <v>226.26999999999998</v>
      </c>
      <c r="F145" s="5" t="s">
        <v>10</v>
      </c>
      <c r="G145" s="2" t="s">
        <v>118</v>
      </c>
    </row>
    <row r="146" spans="1:7" x14ac:dyDescent="0.2">
      <c r="A146" s="84">
        <v>134</v>
      </c>
      <c r="B146" s="82" t="s">
        <v>60</v>
      </c>
      <c r="C146" s="84">
        <v>39901919995</v>
      </c>
      <c r="D146" s="82" t="s">
        <v>72</v>
      </c>
      <c r="E146" s="29">
        <f>2544.51+6592.44</f>
        <v>9136.9500000000007</v>
      </c>
      <c r="F146" s="82" t="s">
        <v>10</v>
      </c>
      <c r="G146" s="31" t="s">
        <v>63</v>
      </c>
    </row>
    <row r="147" spans="1:7" ht="12.75" thickBot="1" x14ac:dyDescent="0.25">
      <c r="A147" s="85"/>
      <c r="B147" s="83"/>
      <c r="C147" s="85"/>
      <c r="D147" s="83"/>
      <c r="E147" s="18">
        <v>1368.39</v>
      </c>
      <c r="F147" s="83"/>
      <c r="G147" s="32" t="s">
        <v>61</v>
      </c>
    </row>
    <row r="148" spans="1:7" x14ac:dyDescent="0.2">
      <c r="A148" s="11">
        <v>135</v>
      </c>
      <c r="B148" s="5" t="s">
        <v>378</v>
      </c>
      <c r="C148" s="11">
        <v>32586594426</v>
      </c>
      <c r="D148" s="5" t="s">
        <v>379</v>
      </c>
      <c r="E148" s="8">
        <v>1306.25</v>
      </c>
      <c r="F148" s="5" t="s">
        <v>10</v>
      </c>
      <c r="G148" s="2" t="s">
        <v>23</v>
      </c>
    </row>
    <row r="149" spans="1:7" x14ac:dyDescent="0.2">
      <c r="A149" s="11">
        <v>136</v>
      </c>
      <c r="B149" s="5" t="s">
        <v>1358</v>
      </c>
      <c r="C149" s="11">
        <v>25444746329</v>
      </c>
      <c r="D149" s="5" t="s">
        <v>1359</v>
      </c>
      <c r="E149" s="8">
        <v>20.239999999999998</v>
      </c>
      <c r="F149" s="5" t="s">
        <v>10</v>
      </c>
      <c r="G149" s="2" t="s">
        <v>86</v>
      </c>
    </row>
    <row r="150" spans="1:7" x14ac:dyDescent="0.2">
      <c r="A150" s="11">
        <v>137</v>
      </c>
      <c r="B150" s="5" t="s">
        <v>939</v>
      </c>
      <c r="C150" s="11">
        <v>42821181683</v>
      </c>
      <c r="D150" s="5" t="s">
        <v>940</v>
      </c>
      <c r="E150" s="8">
        <v>144</v>
      </c>
      <c r="F150" s="5" t="s">
        <v>10</v>
      </c>
      <c r="G150" s="2" t="s">
        <v>23</v>
      </c>
    </row>
    <row r="151" spans="1:7" x14ac:dyDescent="0.2">
      <c r="A151" s="11">
        <v>138</v>
      </c>
      <c r="B151" s="5" t="s">
        <v>1450</v>
      </c>
      <c r="C151" s="11">
        <v>65844386753</v>
      </c>
      <c r="D151" s="5" t="s">
        <v>1451</v>
      </c>
      <c r="E151" s="8">
        <v>60</v>
      </c>
      <c r="F151" s="5" t="s">
        <v>10</v>
      </c>
      <c r="G151" s="2" t="s">
        <v>23</v>
      </c>
    </row>
    <row r="152" spans="1:7" x14ac:dyDescent="0.2">
      <c r="A152" s="11">
        <v>139</v>
      </c>
      <c r="B152" s="5" t="s">
        <v>1369</v>
      </c>
      <c r="C152" s="11">
        <v>38001831721</v>
      </c>
      <c r="D152" s="5" t="s">
        <v>1370</v>
      </c>
      <c r="E152" s="8">
        <v>25</v>
      </c>
      <c r="F152" s="5" t="s">
        <v>10</v>
      </c>
      <c r="G152" s="2" t="s">
        <v>1371</v>
      </c>
    </row>
    <row r="153" spans="1:7" x14ac:dyDescent="0.2">
      <c r="A153" s="11">
        <v>140</v>
      </c>
      <c r="B153" s="5" t="s">
        <v>412</v>
      </c>
      <c r="C153" s="11">
        <v>85611744662</v>
      </c>
      <c r="D153" s="5" t="s">
        <v>413</v>
      </c>
      <c r="E153" s="8">
        <v>398.5</v>
      </c>
      <c r="F153" s="5" t="s">
        <v>10</v>
      </c>
      <c r="G153" s="2" t="s">
        <v>23</v>
      </c>
    </row>
    <row r="154" spans="1:7" x14ac:dyDescent="0.2">
      <c r="A154" s="11">
        <v>141</v>
      </c>
      <c r="B154" s="5" t="s">
        <v>794</v>
      </c>
      <c r="C154" s="11">
        <v>69927324836</v>
      </c>
      <c r="D154" s="5" t="s">
        <v>795</v>
      </c>
      <c r="E154" s="8">
        <f>165.58+1023.13</f>
        <v>1188.71</v>
      </c>
      <c r="F154" s="5" t="s">
        <v>10</v>
      </c>
      <c r="G154" s="2" t="s">
        <v>23</v>
      </c>
    </row>
    <row r="155" spans="1:7" x14ac:dyDescent="0.2">
      <c r="A155" s="11">
        <v>142</v>
      </c>
      <c r="B155" s="5" t="s">
        <v>151</v>
      </c>
      <c r="C155" s="11">
        <v>59964152545</v>
      </c>
      <c r="D155" s="5" t="s">
        <v>211</v>
      </c>
      <c r="E155" s="8">
        <v>391.88</v>
      </c>
      <c r="F155" s="5" t="s">
        <v>10</v>
      </c>
      <c r="G155" s="2" t="s">
        <v>147</v>
      </c>
    </row>
    <row r="156" spans="1:7" x14ac:dyDescent="0.2">
      <c r="A156" s="11">
        <v>143</v>
      </c>
      <c r="B156" s="5" t="s">
        <v>753</v>
      </c>
      <c r="C156" s="11">
        <v>93475459627</v>
      </c>
      <c r="D156" s="5" t="s">
        <v>754</v>
      </c>
      <c r="E156" s="8">
        <f>54.75+73.38+32.85</f>
        <v>160.97999999999999</v>
      </c>
      <c r="F156" s="5" t="s">
        <v>10</v>
      </c>
      <c r="G156" s="2" t="s">
        <v>23</v>
      </c>
    </row>
    <row r="157" spans="1:7" x14ac:dyDescent="0.2">
      <c r="A157" s="11">
        <v>144</v>
      </c>
      <c r="B157" s="5" t="s">
        <v>1422</v>
      </c>
      <c r="C157" s="11">
        <v>33548604975</v>
      </c>
      <c r="D157" s="5" t="s">
        <v>1204</v>
      </c>
      <c r="E157" s="8">
        <v>170.5</v>
      </c>
      <c r="F157" s="5" t="s">
        <v>10</v>
      </c>
      <c r="G157" s="2" t="s">
        <v>23</v>
      </c>
    </row>
    <row r="158" spans="1:7" x14ac:dyDescent="0.2">
      <c r="A158" s="11">
        <v>145</v>
      </c>
      <c r="B158" s="5" t="s">
        <v>1145</v>
      </c>
      <c r="C158" s="11" t="s">
        <v>1146</v>
      </c>
      <c r="D158" s="5" t="s">
        <v>1147</v>
      </c>
      <c r="E158" s="8">
        <v>6355.3</v>
      </c>
      <c r="F158" s="5" t="s">
        <v>10</v>
      </c>
      <c r="G158" s="2" t="s">
        <v>23</v>
      </c>
    </row>
    <row r="159" spans="1:7" x14ac:dyDescent="0.2">
      <c r="A159" s="11">
        <v>146</v>
      </c>
      <c r="B159" s="5" t="s">
        <v>691</v>
      </c>
      <c r="C159" s="11">
        <v>31826907316</v>
      </c>
      <c r="D159" s="5" t="s">
        <v>692</v>
      </c>
      <c r="E159" s="8">
        <f>5252.18+139.7</f>
        <v>5391.88</v>
      </c>
      <c r="F159" s="5" t="s">
        <v>10</v>
      </c>
      <c r="G159" s="2" t="s">
        <v>23</v>
      </c>
    </row>
    <row r="160" spans="1:7" x14ac:dyDescent="0.2">
      <c r="A160" s="11">
        <v>147</v>
      </c>
      <c r="B160" s="5" t="s">
        <v>162</v>
      </c>
      <c r="C160" s="11">
        <v>58353015102</v>
      </c>
      <c r="D160" s="5" t="s">
        <v>219</v>
      </c>
      <c r="E160" s="8">
        <v>60.18</v>
      </c>
      <c r="F160" s="5" t="s">
        <v>10</v>
      </c>
      <c r="G160" s="2" t="s">
        <v>23</v>
      </c>
    </row>
    <row r="161" spans="1:7" x14ac:dyDescent="0.2">
      <c r="A161" s="11">
        <v>148</v>
      </c>
      <c r="B161" s="5" t="s">
        <v>573</v>
      </c>
      <c r="C161" s="11">
        <v>56862872842</v>
      </c>
      <c r="D161" s="5" t="s">
        <v>594</v>
      </c>
      <c r="E161" s="8">
        <v>125</v>
      </c>
      <c r="F161" s="5" t="s">
        <v>10</v>
      </c>
      <c r="G161" s="2" t="s">
        <v>23</v>
      </c>
    </row>
    <row r="162" spans="1:7" x14ac:dyDescent="0.2">
      <c r="A162" s="11">
        <v>149</v>
      </c>
      <c r="B162" s="5" t="s">
        <v>1452</v>
      </c>
      <c r="C162" s="12">
        <v>39643065205</v>
      </c>
      <c r="D162" s="5" t="s">
        <v>1453</v>
      </c>
      <c r="E162" s="8">
        <v>73</v>
      </c>
      <c r="F162" s="5" t="s">
        <v>10</v>
      </c>
      <c r="G162" s="2" t="s">
        <v>23</v>
      </c>
    </row>
    <row r="163" spans="1:7" x14ac:dyDescent="0.2">
      <c r="A163" s="11">
        <v>150</v>
      </c>
      <c r="B163" s="5" t="s">
        <v>1454</v>
      </c>
      <c r="C163" s="12">
        <v>66962076561</v>
      </c>
      <c r="D163" s="5" t="s">
        <v>1455</v>
      </c>
      <c r="E163" s="8">
        <v>3772.63</v>
      </c>
      <c r="F163" s="5" t="s">
        <v>10</v>
      </c>
      <c r="G163" s="2" t="s">
        <v>350</v>
      </c>
    </row>
    <row r="164" spans="1:7" x14ac:dyDescent="0.2">
      <c r="A164" s="11">
        <v>151</v>
      </c>
      <c r="B164" s="5" t="s">
        <v>24</v>
      </c>
      <c r="C164" s="11">
        <v>55622004611</v>
      </c>
      <c r="D164" s="5" t="s">
        <v>32</v>
      </c>
      <c r="E164" s="8">
        <v>69.75</v>
      </c>
      <c r="F164" s="5" t="s">
        <v>10</v>
      </c>
      <c r="G164" s="2" t="s">
        <v>23</v>
      </c>
    </row>
    <row r="165" spans="1:7" x14ac:dyDescent="0.2">
      <c r="A165" s="11">
        <v>152</v>
      </c>
      <c r="B165" s="5" t="s">
        <v>494</v>
      </c>
      <c r="C165" s="11">
        <v>54482179263</v>
      </c>
      <c r="D165" s="5" t="s">
        <v>495</v>
      </c>
      <c r="E165" s="8">
        <f>5.56+80.06</f>
        <v>85.62</v>
      </c>
      <c r="F165" s="5" t="s">
        <v>10</v>
      </c>
      <c r="G165" s="2" t="s">
        <v>23</v>
      </c>
    </row>
    <row r="166" spans="1:7" x14ac:dyDescent="0.2">
      <c r="A166" s="11">
        <v>153</v>
      </c>
      <c r="B166" s="5" t="s">
        <v>125</v>
      </c>
      <c r="C166" s="11">
        <v>15429488788</v>
      </c>
      <c r="D166" s="5" t="s">
        <v>126</v>
      </c>
      <c r="E166" s="8">
        <f>98.74+961</f>
        <v>1059.74</v>
      </c>
      <c r="F166" s="5" t="s">
        <v>10</v>
      </c>
      <c r="G166" s="2" t="s">
        <v>124</v>
      </c>
    </row>
    <row r="167" spans="1:7" x14ac:dyDescent="0.2">
      <c r="A167" s="11">
        <v>154</v>
      </c>
      <c r="B167" s="5" t="s">
        <v>1456</v>
      </c>
      <c r="C167" s="12" t="s">
        <v>1457</v>
      </c>
      <c r="D167" s="5" t="s">
        <v>1458</v>
      </c>
      <c r="E167" s="8">
        <v>500</v>
      </c>
      <c r="F167" s="5" t="s">
        <v>10</v>
      </c>
      <c r="G167" s="2" t="s">
        <v>23</v>
      </c>
    </row>
    <row r="168" spans="1:7" x14ac:dyDescent="0.2">
      <c r="A168" s="11">
        <v>155</v>
      </c>
      <c r="B168" s="5" t="s">
        <v>1459</v>
      </c>
      <c r="C168" s="11">
        <v>98164456048</v>
      </c>
      <c r="D168" s="5" t="s">
        <v>1460</v>
      </c>
      <c r="E168" s="8">
        <v>2023.14</v>
      </c>
      <c r="F168" s="5" t="s">
        <v>10</v>
      </c>
      <c r="G168" s="2" t="s">
        <v>186</v>
      </c>
    </row>
    <row r="169" spans="1:7" x14ac:dyDescent="0.2">
      <c r="A169" s="11">
        <v>156</v>
      </c>
      <c r="B169" s="5" t="s">
        <v>974</v>
      </c>
      <c r="C169" s="11">
        <v>89984971143</v>
      </c>
      <c r="D169" s="5" t="s">
        <v>975</v>
      </c>
      <c r="E169" s="8">
        <v>5041.88</v>
      </c>
      <c r="F169" s="5" t="s">
        <v>10</v>
      </c>
      <c r="G169" s="2" t="s">
        <v>147</v>
      </c>
    </row>
    <row r="170" spans="1:7" x14ac:dyDescent="0.2">
      <c r="A170" s="11">
        <v>157</v>
      </c>
      <c r="B170" s="5" t="s">
        <v>1245</v>
      </c>
      <c r="C170" s="12" t="s">
        <v>1246</v>
      </c>
      <c r="D170" s="5" t="s">
        <v>1247</v>
      </c>
      <c r="E170" s="8">
        <v>2259.13</v>
      </c>
      <c r="F170" s="5" t="s">
        <v>10</v>
      </c>
      <c r="G170" s="2" t="s">
        <v>23</v>
      </c>
    </row>
    <row r="171" spans="1:7" x14ac:dyDescent="0.2">
      <c r="A171" s="11">
        <v>158</v>
      </c>
      <c r="B171" s="5" t="s">
        <v>541</v>
      </c>
      <c r="C171" s="11">
        <v>32371574171</v>
      </c>
      <c r="D171" s="5" t="s">
        <v>542</v>
      </c>
      <c r="E171" s="8">
        <f>1250+1500</f>
        <v>2750</v>
      </c>
      <c r="F171" s="5" t="s">
        <v>10</v>
      </c>
      <c r="G171" s="2" t="s">
        <v>243</v>
      </c>
    </row>
    <row r="172" spans="1:7" x14ac:dyDescent="0.2">
      <c r="A172" s="11">
        <v>159</v>
      </c>
      <c r="B172" s="5" t="s">
        <v>1461</v>
      </c>
      <c r="C172" s="12">
        <v>53001917600</v>
      </c>
      <c r="D172" s="5" t="s">
        <v>1462</v>
      </c>
      <c r="E172" s="8">
        <f>108+108</f>
        <v>216</v>
      </c>
      <c r="F172" s="5" t="s">
        <v>10</v>
      </c>
      <c r="G172" s="2" t="s">
        <v>481</v>
      </c>
    </row>
    <row r="173" spans="1:7" x14ac:dyDescent="0.2">
      <c r="A173" s="11">
        <v>160</v>
      </c>
      <c r="B173" s="5" t="s">
        <v>87</v>
      </c>
      <c r="C173" s="12" t="s">
        <v>92</v>
      </c>
      <c r="D173" s="5" t="s">
        <v>91</v>
      </c>
      <c r="E173" s="8">
        <v>647.08000000000004</v>
      </c>
      <c r="F173" s="5" t="s">
        <v>10</v>
      </c>
      <c r="G173" s="2" t="s">
        <v>86</v>
      </c>
    </row>
    <row r="174" spans="1:7" x14ac:dyDescent="0.2">
      <c r="A174" s="11">
        <v>161</v>
      </c>
      <c r="B174" s="5" t="s">
        <v>1463</v>
      </c>
      <c r="C174" s="12">
        <v>54818474035</v>
      </c>
      <c r="D174" s="5" t="s">
        <v>1162</v>
      </c>
      <c r="E174" s="8">
        <v>56</v>
      </c>
      <c r="F174" s="5" t="s">
        <v>10</v>
      </c>
      <c r="G174" s="2" t="s">
        <v>330</v>
      </c>
    </row>
    <row r="175" spans="1:7" x14ac:dyDescent="0.2">
      <c r="A175" s="11">
        <v>162</v>
      </c>
      <c r="B175" s="5" t="s">
        <v>1464</v>
      </c>
      <c r="C175" s="12">
        <v>26690995530</v>
      </c>
      <c r="D175" s="5" t="s">
        <v>1465</v>
      </c>
      <c r="E175" s="8">
        <v>4367.3999999999996</v>
      </c>
      <c r="F175" s="5" t="s">
        <v>10</v>
      </c>
      <c r="G175" s="2" t="s">
        <v>350</v>
      </c>
    </row>
    <row r="176" spans="1:7" x14ac:dyDescent="0.2">
      <c r="A176" s="11">
        <v>163</v>
      </c>
      <c r="B176" s="5" t="s">
        <v>860</v>
      </c>
      <c r="C176" s="11">
        <v>44307963093</v>
      </c>
      <c r="D176" s="5" t="s">
        <v>861</v>
      </c>
      <c r="E176" s="8">
        <f>1068.75+4512.5</f>
        <v>5581.25</v>
      </c>
      <c r="F176" s="5" t="s">
        <v>10</v>
      </c>
      <c r="G176" s="2" t="s">
        <v>23</v>
      </c>
    </row>
    <row r="177" spans="1:7" x14ac:dyDescent="0.2">
      <c r="A177" s="11">
        <v>164</v>
      </c>
      <c r="B177" s="5" t="s">
        <v>1031</v>
      </c>
      <c r="C177" s="11">
        <v>32034925094</v>
      </c>
      <c r="D177" s="5" t="s">
        <v>1032</v>
      </c>
      <c r="E177" s="8">
        <v>1945.13</v>
      </c>
      <c r="F177" s="5" t="s">
        <v>10</v>
      </c>
      <c r="G177" s="2" t="s">
        <v>23</v>
      </c>
    </row>
    <row r="178" spans="1:7" x14ac:dyDescent="0.2">
      <c r="A178" s="11">
        <v>165</v>
      </c>
      <c r="B178" s="19" t="s">
        <v>1148</v>
      </c>
      <c r="C178" s="36">
        <v>48293321289</v>
      </c>
      <c r="D178" s="19" t="s">
        <v>1149</v>
      </c>
      <c r="E178" s="8">
        <v>10000</v>
      </c>
      <c r="F178" s="5" t="s">
        <v>10</v>
      </c>
      <c r="G178" s="2" t="s">
        <v>23</v>
      </c>
    </row>
    <row r="179" spans="1:7" x14ac:dyDescent="0.2">
      <c r="A179" s="11">
        <v>166</v>
      </c>
      <c r="B179" s="5" t="s">
        <v>1466</v>
      </c>
      <c r="C179" s="11">
        <v>38842004780</v>
      </c>
      <c r="D179" s="5" t="s">
        <v>1467</v>
      </c>
      <c r="E179" s="8">
        <v>3500</v>
      </c>
      <c r="F179" s="5" t="s">
        <v>10</v>
      </c>
      <c r="G179" s="2" t="s">
        <v>23</v>
      </c>
    </row>
    <row r="180" spans="1:7" x14ac:dyDescent="0.2">
      <c r="A180" s="11">
        <v>167</v>
      </c>
      <c r="B180" s="5" t="s">
        <v>1468</v>
      </c>
      <c r="C180" s="12">
        <v>78853440387</v>
      </c>
      <c r="D180" s="5" t="s">
        <v>1469</v>
      </c>
      <c r="E180" s="8">
        <v>1685.21</v>
      </c>
      <c r="F180" s="5" t="s">
        <v>10</v>
      </c>
      <c r="G180" s="2" t="s">
        <v>23</v>
      </c>
    </row>
    <row r="181" spans="1:7" x14ac:dyDescent="0.2">
      <c r="A181" s="11">
        <v>168</v>
      </c>
      <c r="B181" s="5" t="s">
        <v>1470</v>
      </c>
      <c r="C181" s="12">
        <v>18034029617</v>
      </c>
      <c r="D181" s="5" t="s">
        <v>1471</v>
      </c>
      <c r="E181" s="8">
        <v>207.73</v>
      </c>
      <c r="F181" s="5" t="s">
        <v>10</v>
      </c>
      <c r="G181" s="2" t="s">
        <v>287</v>
      </c>
    </row>
    <row r="182" spans="1:7" x14ac:dyDescent="0.2">
      <c r="A182" s="11">
        <v>169</v>
      </c>
      <c r="B182" s="5" t="s">
        <v>1472</v>
      </c>
      <c r="C182" s="12">
        <v>66502008806</v>
      </c>
      <c r="D182" s="5" t="s">
        <v>1473</v>
      </c>
      <c r="E182" s="8">
        <f>437.5+437.5</f>
        <v>875</v>
      </c>
      <c r="F182" s="5" t="s">
        <v>10</v>
      </c>
      <c r="G182" s="2" t="s">
        <v>23</v>
      </c>
    </row>
    <row r="183" spans="1:7" x14ac:dyDescent="0.2">
      <c r="A183" s="11">
        <v>170</v>
      </c>
      <c r="B183" s="5" t="s">
        <v>881</v>
      </c>
      <c r="C183" s="11" t="s">
        <v>883</v>
      </c>
      <c r="D183" s="5" t="s">
        <v>882</v>
      </c>
      <c r="E183" s="8">
        <v>139.30000000000001</v>
      </c>
      <c r="F183" s="5" t="s">
        <v>10</v>
      </c>
      <c r="G183" s="2" t="s">
        <v>23</v>
      </c>
    </row>
    <row r="184" spans="1:7" x14ac:dyDescent="0.2">
      <c r="A184" s="11">
        <v>171</v>
      </c>
      <c r="B184" s="5" t="s">
        <v>1474</v>
      </c>
      <c r="C184" s="11">
        <v>29743547503</v>
      </c>
      <c r="D184" s="5" t="s">
        <v>1475</v>
      </c>
      <c r="E184" s="8">
        <v>13256</v>
      </c>
      <c r="F184" s="5" t="s">
        <v>10</v>
      </c>
      <c r="G184" s="2" t="s">
        <v>1476</v>
      </c>
    </row>
    <row r="185" spans="1:7" x14ac:dyDescent="0.2">
      <c r="A185" s="11">
        <v>172</v>
      </c>
      <c r="B185" s="5" t="s">
        <v>1477</v>
      </c>
      <c r="C185" s="12">
        <v>84725664670</v>
      </c>
      <c r="D185" s="5" t="s">
        <v>1478</v>
      </c>
      <c r="E185" s="8">
        <v>26.46</v>
      </c>
      <c r="F185" s="5" t="s">
        <v>10</v>
      </c>
      <c r="G185" s="2" t="s">
        <v>23</v>
      </c>
    </row>
    <row r="186" spans="1:7" x14ac:dyDescent="0.2">
      <c r="A186" s="11">
        <v>173</v>
      </c>
      <c r="B186" s="5" t="s">
        <v>1479</v>
      </c>
      <c r="C186" s="12">
        <v>83442273157</v>
      </c>
      <c r="D186" s="5" t="s">
        <v>1480</v>
      </c>
      <c r="E186" s="8">
        <v>418</v>
      </c>
      <c r="F186" s="5" t="s">
        <v>10</v>
      </c>
      <c r="G186" s="2" t="s">
        <v>192</v>
      </c>
    </row>
    <row r="187" spans="1:7" x14ac:dyDescent="0.2">
      <c r="A187" s="11">
        <v>174</v>
      </c>
      <c r="B187" s="5" t="s">
        <v>441</v>
      </c>
      <c r="C187" s="11">
        <v>12443607100</v>
      </c>
      <c r="D187" s="5" t="s">
        <v>442</v>
      </c>
      <c r="E187" s="8">
        <v>3326.25</v>
      </c>
      <c r="F187" s="5" t="s">
        <v>10</v>
      </c>
      <c r="G187" s="2" t="s">
        <v>23</v>
      </c>
    </row>
    <row r="188" spans="1:7" x14ac:dyDescent="0.2">
      <c r="A188" s="11">
        <v>175</v>
      </c>
      <c r="B188" s="5" t="s">
        <v>798</v>
      </c>
      <c r="C188" s="11">
        <v>84082732674</v>
      </c>
      <c r="D188" s="5" t="s">
        <v>799</v>
      </c>
      <c r="E188" s="8">
        <v>753.49</v>
      </c>
      <c r="F188" s="5" t="s">
        <v>10</v>
      </c>
      <c r="G188" s="2" t="s">
        <v>449</v>
      </c>
    </row>
    <row r="189" spans="1:7" x14ac:dyDescent="0.2">
      <c r="A189" s="11">
        <v>176</v>
      </c>
      <c r="B189" s="5" t="s">
        <v>804</v>
      </c>
      <c r="C189" s="11">
        <v>31190261041</v>
      </c>
      <c r="D189" s="5" t="s">
        <v>805</v>
      </c>
      <c r="E189" s="8">
        <v>9</v>
      </c>
      <c r="F189" s="5" t="s">
        <v>10</v>
      </c>
      <c r="G189" s="2" t="s">
        <v>23</v>
      </c>
    </row>
    <row r="190" spans="1:7" x14ac:dyDescent="0.2">
      <c r="A190" s="11">
        <v>177</v>
      </c>
      <c r="B190" s="5" t="s">
        <v>839</v>
      </c>
      <c r="C190" s="11">
        <v>27740284011</v>
      </c>
      <c r="D190" s="5" t="s">
        <v>840</v>
      </c>
      <c r="E190" s="8">
        <v>31.25</v>
      </c>
      <c r="F190" s="5" t="s">
        <v>10</v>
      </c>
      <c r="G190" s="2" t="s">
        <v>23</v>
      </c>
    </row>
    <row r="191" spans="1:7" x14ac:dyDescent="0.2">
      <c r="A191" s="11">
        <v>178</v>
      </c>
      <c r="B191" s="5" t="s">
        <v>1174</v>
      </c>
      <c r="C191" s="11" t="s">
        <v>1175</v>
      </c>
      <c r="D191" s="5" t="s">
        <v>1176</v>
      </c>
      <c r="E191" s="8">
        <v>75.400000000000006</v>
      </c>
      <c r="F191" s="5" t="s">
        <v>10</v>
      </c>
      <c r="G191" s="2" t="s">
        <v>23</v>
      </c>
    </row>
    <row r="192" spans="1:7" x14ac:dyDescent="0.2">
      <c r="A192" s="11">
        <v>179</v>
      </c>
      <c r="B192" s="5" t="s">
        <v>1481</v>
      </c>
      <c r="C192" s="12">
        <v>14038234519</v>
      </c>
      <c r="D192" s="5" t="s">
        <v>1482</v>
      </c>
      <c r="E192" s="8">
        <v>375</v>
      </c>
      <c r="F192" s="5" t="s">
        <v>10</v>
      </c>
      <c r="G192" s="2" t="s">
        <v>260</v>
      </c>
    </row>
    <row r="193" spans="1:7" x14ac:dyDescent="0.2">
      <c r="A193" s="11">
        <v>180</v>
      </c>
      <c r="B193" s="5" t="s">
        <v>1483</v>
      </c>
      <c r="C193" s="12" t="s">
        <v>1484</v>
      </c>
      <c r="D193" s="5" t="s">
        <v>1485</v>
      </c>
      <c r="E193" s="8">
        <v>249</v>
      </c>
      <c r="F193" s="5" t="s">
        <v>10</v>
      </c>
      <c r="G193" s="2" t="s">
        <v>23</v>
      </c>
    </row>
    <row r="194" spans="1:7" x14ac:dyDescent="0.2">
      <c r="A194" s="11">
        <v>181</v>
      </c>
      <c r="B194" s="5" t="s">
        <v>1486</v>
      </c>
      <c r="C194" s="12">
        <v>53239596953</v>
      </c>
      <c r="D194" s="5" t="s">
        <v>1487</v>
      </c>
      <c r="E194" s="8">
        <v>21.38</v>
      </c>
      <c r="F194" s="5" t="s">
        <v>10</v>
      </c>
      <c r="G194" s="2" t="s">
        <v>23</v>
      </c>
    </row>
    <row r="195" spans="1:7" x14ac:dyDescent="0.2">
      <c r="A195" s="11">
        <v>182</v>
      </c>
      <c r="B195" s="5" t="s">
        <v>1488</v>
      </c>
      <c r="C195" s="12" t="s">
        <v>1489</v>
      </c>
      <c r="D195" s="5" t="s">
        <v>1490</v>
      </c>
      <c r="E195" s="8">
        <v>59.03</v>
      </c>
      <c r="F195" s="5" t="s">
        <v>10</v>
      </c>
      <c r="G195" s="2" t="s">
        <v>23</v>
      </c>
    </row>
    <row r="196" spans="1:7" x14ac:dyDescent="0.2">
      <c r="A196" s="11">
        <v>183</v>
      </c>
      <c r="B196" s="5" t="s">
        <v>1335</v>
      </c>
      <c r="C196" s="12" t="s">
        <v>750</v>
      </c>
      <c r="D196" s="5" t="s">
        <v>751</v>
      </c>
      <c r="E196" s="8">
        <v>65.819999999999993</v>
      </c>
      <c r="F196" s="5" t="s">
        <v>10</v>
      </c>
      <c r="G196" s="2" t="s">
        <v>330</v>
      </c>
    </row>
    <row r="197" spans="1:7" ht="5.25" customHeight="1" x14ac:dyDescent="0.2">
      <c r="A197" s="11"/>
      <c r="B197" s="5"/>
      <c r="C197" s="11"/>
      <c r="D197" s="5"/>
      <c r="E197" s="8"/>
      <c r="F197" s="5"/>
      <c r="G197" s="2"/>
    </row>
    <row r="199" spans="1:7" x14ac:dyDescent="0.2">
      <c r="D199" s="53" t="s">
        <v>1491</v>
      </c>
      <c r="E199" s="54">
        <f>SUM(E11:E197)</f>
        <v>1805004.9399999995</v>
      </c>
    </row>
    <row r="208" spans="1:7" x14ac:dyDescent="0.2">
      <c r="D208" s="13"/>
    </row>
  </sheetData>
  <sheetProtection algorithmName="SHA-512" hashValue="OEtm9xxzFTSEbD53w2aX7me3T3f66jHl2frCuyABHHovgT12gHHVkrr9vPb4XWTAaq7pCfuOEkLJLaSzhlGj/Q==" saltValue="l8Is6Ov5UzHHgpU60rcNyw==" spinCount="100000" sheet="1" objects="1" scenarios="1" selectLockedCells="1" autoFilter="0" selectUnlockedCells="1"/>
  <autoFilter ref="A10:G196" xr:uid="{79D9308F-D8EF-4EE5-AE48-4EAD65D1A3CF}"/>
  <mergeCells count="18">
    <mergeCell ref="A6:B6"/>
    <mergeCell ref="A7:B7"/>
    <mergeCell ref="C8:F8"/>
    <mergeCell ref="A35:A36"/>
    <mergeCell ref="B35:B36"/>
    <mergeCell ref="C35:C36"/>
    <mergeCell ref="D35:D36"/>
    <mergeCell ref="F35:F36"/>
    <mergeCell ref="A146:A147"/>
    <mergeCell ref="B146:B147"/>
    <mergeCell ref="C146:C147"/>
    <mergeCell ref="D146:D147"/>
    <mergeCell ref="F146:F147"/>
    <mergeCell ref="A52:A53"/>
    <mergeCell ref="B52:B53"/>
    <mergeCell ref="C52:C53"/>
    <mergeCell ref="D52:D53"/>
    <mergeCell ref="F52:F5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EB582-4B66-4279-9C59-BD5D836790C0}">
  <dimension ref="A5:J275"/>
  <sheetViews>
    <sheetView workbookViewId="0">
      <selection activeCell="K7" sqref="K7"/>
    </sheetView>
  </sheetViews>
  <sheetFormatPr defaultRowHeight="12" x14ac:dyDescent="0.2"/>
  <cols>
    <col min="1" max="1" width="9.140625" style="10"/>
    <col min="2" max="2" width="52" style="1" customWidth="1"/>
    <col min="3" max="3" width="20" style="10" bestFit="1" customWidth="1"/>
    <col min="4" max="4" width="32.42578125" style="1" bestFit="1" customWidth="1"/>
    <col min="5" max="5" width="16.42578125" style="13" bestFit="1" customWidth="1"/>
    <col min="6" max="6" width="33.140625" style="1" bestFit="1" customWidth="1"/>
    <col min="7" max="7" width="39.7109375" style="1" customWidth="1"/>
    <col min="8" max="9" width="9.140625" style="1"/>
    <col min="10" max="10" width="10" style="1" bestFit="1" customWidth="1"/>
    <col min="11" max="16384" width="9.140625" style="1"/>
  </cols>
  <sheetData>
    <row r="5" spans="1:7" x14ac:dyDescent="0.2">
      <c r="A5" s="6" t="s">
        <v>6</v>
      </c>
      <c r="B5" s="7"/>
    </row>
    <row r="6" spans="1:7" x14ac:dyDescent="0.2">
      <c r="A6" s="74" t="s">
        <v>7</v>
      </c>
      <c r="B6" s="74"/>
    </row>
    <row r="7" spans="1:7" x14ac:dyDescent="0.2">
      <c r="A7" s="74" t="s">
        <v>8</v>
      </c>
      <c r="B7" s="74"/>
    </row>
    <row r="8" spans="1:7" x14ac:dyDescent="0.2">
      <c r="A8" s="25"/>
      <c r="B8" s="6"/>
      <c r="C8" s="75" t="s">
        <v>1492</v>
      </c>
      <c r="D8" s="75"/>
      <c r="E8" s="75"/>
      <c r="F8" s="75"/>
    </row>
    <row r="10" spans="1:7" x14ac:dyDescent="0.2">
      <c r="A10" s="3" t="s">
        <v>1</v>
      </c>
      <c r="B10" s="4" t="s">
        <v>0</v>
      </c>
      <c r="C10" s="3" t="s">
        <v>42</v>
      </c>
      <c r="D10" s="4" t="s">
        <v>2</v>
      </c>
      <c r="E10" s="14" t="s">
        <v>3</v>
      </c>
      <c r="F10" s="4" t="s">
        <v>4</v>
      </c>
      <c r="G10" s="3" t="s">
        <v>5</v>
      </c>
    </row>
    <row r="11" spans="1:7" x14ac:dyDescent="0.2">
      <c r="A11" s="11">
        <v>1</v>
      </c>
      <c r="B11" s="5" t="s">
        <v>11</v>
      </c>
      <c r="C11" s="11">
        <v>23780250353</v>
      </c>
      <c r="D11" s="5" t="s">
        <v>27</v>
      </c>
      <c r="E11" s="8">
        <v>2520.39</v>
      </c>
      <c r="F11" s="5" t="s">
        <v>10</v>
      </c>
      <c r="G11" s="2" t="s">
        <v>12</v>
      </c>
    </row>
    <row r="12" spans="1:7" x14ac:dyDescent="0.2">
      <c r="A12" s="11">
        <v>2</v>
      </c>
      <c r="B12" s="5" t="s">
        <v>486</v>
      </c>
      <c r="C12" s="11" t="s">
        <v>487</v>
      </c>
      <c r="D12" s="5" t="s">
        <v>488</v>
      </c>
      <c r="E12" s="8">
        <f>2323+424.2</f>
        <v>2747.2</v>
      </c>
      <c r="F12" s="5" t="s">
        <v>10</v>
      </c>
      <c r="G12" s="2" t="s">
        <v>23</v>
      </c>
    </row>
    <row r="13" spans="1:7" x14ac:dyDescent="0.2">
      <c r="A13" s="11">
        <v>3</v>
      </c>
      <c r="B13" s="5" t="s">
        <v>14</v>
      </c>
      <c r="C13" s="11">
        <v>87939104217</v>
      </c>
      <c r="D13" s="5" t="s">
        <v>15</v>
      </c>
      <c r="E13" s="8">
        <v>32.78</v>
      </c>
      <c r="F13" s="5" t="s">
        <v>10</v>
      </c>
      <c r="G13" s="2" t="s">
        <v>16</v>
      </c>
    </row>
    <row r="14" spans="1:7" x14ac:dyDescent="0.2">
      <c r="A14" s="11">
        <v>4</v>
      </c>
      <c r="B14" s="5" t="s">
        <v>852</v>
      </c>
      <c r="C14" s="11">
        <v>94472454976</v>
      </c>
      <c r="D14" s="5" t="s">
        <v>853</v>
      </c>
      <c r="E14" s="8">
        <v>5705.64</v>
      </c>
      <c r="F14" s="5" t="s">
        <v>10</v>
      </c>
      <c r="G14" s="2" t="s">
        <v>854</v>
      </c>
    </row>
    <row r="15" spans="1:7" x14ac:dyDescent="0.2">
      <c r="A15" s="11">
        <v>5</v>
      </c>
      <c r="B15" s="5" t="s">
        <v>748</v>
      </c>
      <c r="C15" s="11">
        <v>42826255368</v>
      </c>
      <c r="D15" s="5" t="s">
        <v>749</v>
      </c>
      <c r="E15" s="8">
        <v>4912.51</v>
      </c>
      <c r="F15" s="5" t="s">
        <v>10</v>
      </c>
      <c r="G15" s="2" t="s">
        <v>23</v>
      </c>
    </row>
    <row r="16" spans="1:7" ht="14.25" customHeight="1" x14ac:dyDescent="0.2">
      <c r="A16" s="11">
        <v>6</v>
      </c>
      <c r="B16" s="5" t="s">
        <v>19</v>
      </c>
      <c r="C16" s="12" t="s">
        <v>30</v>
      </c>
      <c r="D16" s="9" t="s">
        <v>31</v>
      </c>
      <c r="E16" s="8">
        <f>5388.33+46.5</f>
        <v>5434.83</v>
      </c>
      <c r="F16" s="5" t="s">
        <v>10</v>
      </c>
      <c r="G16" s="2" t="s">
        <v>20</v>
      </c>
    </row>
    <row r="17" spans="1:8" x14ac:dyDescent="0.2">
      <c r="A17" s="11">
        <v>7</v>
      </c>
      <c r="B17" s="5" t="s">
        <v>22</v>
      </c>
      <c r="C17" s="11">
        <v>85167032587</v>
      </c>
      <c r="D17" s="5" t="s">
        <v>29</v>
      </c>
      <c r="E17" s="8">
        <v>527.30999999999995</v>
      </c>
      <c r="F17" s="5" t="s">
        <v>10</v>
      </c>
      <c r="G17" s="2" t="s">
        <v>21</v>
      </c>
    </row>
    <row r="18" spans="1:8" x14ac:dyDescent="0.2">
      <c r="A18" s="11">
        <v>8</v>
      </c>
      <c r="B18" s="5" t="s">
        <v>180</v>
      </c>
      <c r="C18" s="11">
        <v>87311810356</v>
      </c>
      <c r="D18" s="5" t="s">
        <v>229</v>
      </c>
      <c r="E18" s="8">
        <f>332.76+173.84+2.46</f>
        <v>509.06</v>
      </c>
      <c r="F18" s="5" t="s">
        <v>10</v>
      </c>
      <c r="G18" s="2" t="s">
        <v>179</v>
      </c>
    </row>
    <row r="19" spans="1:8" x14ac:dyDescent="0.2">
      <c r="A19" s="11">
        <v>9</v>
      </c>
      <c r="B19" s="5" t="s">
        <v>688</v>
      </c>
      <c r="C19" s="11">
        <v>44040649076</v>
      </c>
      <c r="D19" s="5" t="s">
        <v>689</v>
      </c>
      <c r="E19" s="8">
        <f>3125+15000+15000</f>
        <v>33125</v>
      </c>
      <c r="F19" s="5" t="s">
        <v>10</v>
      </c>
      <c r="G19" s="2" t="s">
        <v>23</v>
      </c>
    </row>
    <row r="20" spans="1:8" x14ac:dyDescent="0.2">
      <c r="A20" s="11">
        <v>10</v>
      </c>
      <c r="B20" s="5" t="s">
        <v>329</v>
      </c>
      <c r="C20" s="11">
        <v>84523433179</v>
      </c>
      <c r="D20" s="5" t="s">
        <v>331</v>
      </c>
      <c r="E20" s="8">
        <v>55</v>
      </c>
      <c r="F20" s="5" t="s">
        <v>10</v>
      </c>
      <c r="G20" s="2" t="s">
        <v>330</v>
      </c>
    </row>
    <row r="21" spans="1:8" x14ac:dyDescent="0.2">
      <c r="A21" s="11">
        <v>11</v>
      </c>
      <c r="B21" s="5" t="s">
        <v>17</v>
      </c>
      <c r="C21" s="11" t="s">
        <v>17</v>
      </c>
      <c r="D21" s="5" t="s">
        <v>17</v>
      </c>
      <c r="E21" s="8">
        <f>1219534.95+282.52</f>
        <v>1219817.47</v>
      </c>
      <c r="F21" s="5" t="s">
        <v>10</v>
      </c>
      <c r="G21" s="2" t="s">
        <v>34</v>
      </c>
    </row>
    <row r="22" spans="1:8" ht="15" customHeight="1" x14ac:dyDescent="0.2">
      <c r="A22" s="11">
        <v>12</v>
      </c>
      <c r="B22" s="5" t="s">
        <v>685</v>
      </c>
      <c r="C22" s="11">
        <v>78424785565</v>
      </c>
      <c r="D22" s="5" t="s">
        <v>686</v>
      </c>
      <c r="E22" s="8">
        <f>5105+990+1900</f>
        <v>7995</v>
      </c>
      <c r="F22" s="5" t="s">
        <v>10</v>
      </c>
      <c r="G22" s="2" t="s">
        <v>23</v>
      </c>
    </row>
    <row r="23" spans="1:8" x14ac:dyDescent="0.2">
      <c r="A23" s="11">
        <v>13</v>
      </c>
      <c r="B23" s="5" t="s">
        <v>478</v>
      </c>
      <c r="C23" s="11">
        <v>25712329343</v>
      </c>
      <c r="D23" s="5" t="s">
        <v>479</v>
      </c>
      <c r="E23" s="8">
        <v>376.88</v>
      </c>
      <c r="F23" s="5" t="s">
        <v>10</v>
      </c>
      <c r="G23" s="2" t="s">
        <v>23</v>
      </c>
    </row>
    <row r="24" spans="1:8" x14ac:dyDescent="0.2">
      <c r="A24" s="11">
        <v>14</v>
      </c>
      <c r="B24" s="5" t="s">
        <v>39</v>
      </c>
      <c r="C24" s="12" t="s">
        <v>44</v>
      </c>
      <c r="D24" s="5" t="s">
        <v>43</v>
      </c>
      <c r="E24" s="8">
        <v>947.04</v>
      </c>
      <c r="F24" s="5" t="s">
        <v>10</v>
      </c>
      <c r="G24" s="2" t="s">
        <v>16</v>
      </c>
    </row>
    <row r="25" spans="1:8" x14ac:dyDescent="0.2">
      <c r="A25" s="11">
        <v>15</v>
      </c>
      <c r="B25" s="5" t="s">
        <v>45</v>
      </c>
      <c r="C25" s="11">
        <v>57500462912</v>
      </c>
      <c r="D25" s="5" t="s">
        <v>47</v>
      </c>
      <c r="E25" s="8">
        <f>300</f>
        <v>300</v>
      </c>
      <c r="F25" s="5" t="s">
        <v>10</v>
      </c>
      <c r="G25" s="2" t="s">
        <v>46</v>
      </c>
    </row>
    <row r="26" spans="1:8" x14ac:dyDescent="0.2">
      <c r="A26" s="11">
        <v>16</v>
      </c>
      <c r="B26" s="5" t="s">
        <v>102</v>
      </c>
      <c r="C26" s="11">
        <v>981494061</v>
      </c>
      <c r="D26" s="5" t="s">
        <v>103</v>
      </c>
      <c r="E26" s="8">
        <v>836.34</v>
      </c>
      <c r="F26" s="5" t="s">
        <v>10</v>
      </c>
      <c r="G26" s="2" t="s">
        <v>62</v>
      </c>
    </row>
    <row r="27" spans="1:8" x14ac:dyDescent="0.2">
      <c r="A27" s="11">
        <v>17</v>
      </c>
      <c r="B27" s="19" t="s">
        <v>297</v>
      </c>
      <c r="C27" s="36">
        <v>72836081238</v>
      </c>
      <c r="D27" s="19" t="s">
        <v>298</v>
      </c>
      <c r="E27" s="15">
        <f>14625+14500</f>
        <v>29125</v>
      </c>
      <c r="F27" s="19" t="s">
        <v>10</v>
      </c>
      <c r="G27" s="28" t="s">
        <v>23</v>
      </c>
    </row>
    <row r="28" spans="1:8" x14ac:dyDescent="0.2">
      <c r="A28" s="11">
        <v>18</v>
      </c>
      <c r="B28" s="5" t="s">
        <v>388</v>
      </c>
      <c r="C28" s="11" t="s">
        <v>390</v>
      </c>
      <c r="D28" s="5" t="s">
        <v>389</v>
      </c>
      <c r="E28" s="8">
        <v>28000</v>
      </c>
      <c r="F28" s="44" t="s">
        <v>10</v>
      </c>
      <c r="G28" s="2" t="s">
        <v>23</v>
      </c>
    </row>
    <row r="29" spans="1:8" ht="12.75" thickBot="1" x14ac:dyDescent="0.25">
      <c r="A29" s="36">
        <v>19</v>
      </c>
      <c r="B29" s="19" t="s">
        <v>290</v>
      </c>
      <c r="C29" s="36">
        <v>40779258479</v>
      </c>
      <c r="D29" s="19" t="s">
        <v>291</v>
      </c>
      <c r="E29" s="15">
        <v>80000</v>
      </c>
      <c r="F29" s="19" t="s">
        <v>10</v>
      </c>
      <c r="G29" s="28" t="s">
        <v>23</v>
      </c>
      <c r="H29" s="13"/>
    </row>
    <row r="30" spans="1:8" x14ac:dyDescent="0.2">
      <c r="A30" s="88">
        <v>20</v>
      </c>
      <c r="B30" s="90" t="s">
        <v>613</v>
      </c>
      <c r="C30" s="88">
        <v>66253945791</v>
      </c>
      <c r="D30" s="90" t="s">
        <v>67</v>
      </c>
      <c r="E30" s="16">
        <f>17799.3+147446.48+289919.14</f>
        <v>455164.92000000004</v>
      </c>
      <c r="F30" s="92" t="s">
        <v>10</v>
      </c>
      <c r="G30" s="31" t="s">
        <v>58</v>
      </c>
    </row>
    <row r="31" spans="1:8" ht="12.75" thickBot="1" x14ac:dyDescent="0.25">
      <c r="A31" s="89"/>
      <c r="B31" s="91"/>
      <c r="C31" s="89"/>
      <c r="D31" s="91"/>
      <c r="E31" s="18">
        <f>124635.09+68762.38</f>
        <v>193397.47</v>
      </c>
      <c r="F31" s="93"/>
      <c r="G31" s="32" t="s">
        <v>23</v>
      </c>
    </row>
    <row r="32" spans="1:8" x14ac:dyDescent="0.2">
      <c r="A32" s="37">
        <v>21</v>
      </c>
      <c r="B32" s="5" t="s">
        <v>746</v>
      </c>
      <c r="C32" s="11">
        <v>97446189704</v>
      </c>
      <c r="D32" s="5" t="s">
        <v>747</v>
      </c>
      <c r="E32" s="8">
        <v>308</v>
      </c>
      <c r="F32" s="5" t="s">
        <v>10</v>
      </c>
      <c r="G32" s="2" t="s">
        <v>243</v>
      </c>
    </row>
    <row r="33" spans="1:7" x14ac:dyDescent="0.2">
      <c r="A33" s="11">
        <v>22</v>
      </c>
      <c r="B33" s="19" t="s">
        <v>59</v>
      </c>
      <c r="C33" s="36">
        <v>63073332379</v>
      </c>
      <c r="D33" s="19" t="s">
        <v>73</v>
      </c>
      <c r="E33" s="15">
        <v>2728.54</v>
      </c>
      <c r="F33" s="19" t="s">
        <v>10</v>
      </c>
      <c r="G33" s="28" t="s">
        <v>61</v>
      </c>
    </row>
    <row r="34" spans="1:7" x14ac:dyDescent="0.2">
      <c r="A34" s="11">
        <v>23</v>
      </c>
      <c r="B34" s="5" t="s">
        <v>1009</v>
      </c>
      <c r="C34" s="11">
        <v>27712717103</v>
      </c>
      <c r="D34" s="5" t="s">
        <v>1010</v>
      </c>
      <c r="E34" s="8">
        <v>31621.88</v>
      </c>
      <c r="F34" s="44" t="s">
        <v>10</v>
      </c>
      <c r="G34" s="2" t="s">
        <v>147</v>
      </c>
    </row>
    <row r="35" spans="1:7" ht="12.75" thickBot="1" x14ac:dyDescent="0.25">
      <c r="A35" s="11">
        <v>24</v>
      </c>
      <c r="B35" s="5" t="s">
        <v>755</v>
      </c>
      <c r="C35" s="11">
        <v>44270699963</v>
      </c>
      <c r="D35" s="5" t="s">
        <v>756</v>
      </c>
      <c r="E35" s="18">
        <v>29.7</v>
      </c>
      <c r="F35" s="35" t="s">
        <v>10</v>
      </c>
      <c r="G35" s="32" t="s">
        <v>112</v>
      </c>
    </row>
    <row r="36" spans="1:7" ht="15" customHeight="1" x14ac:dyDescent="0.2">
      <c r="A36" s="84">
        <v>25</v>
      </c>
      <c r="B36" s="82" t="s">
        <v>76</v>
      </c>
      <c r="C36" s="84">
        <v>11471889269</v>
      </c>
      <c r="D36" s="82" t="s">
        <v>77</v>
      </c>
      <c r="E36" s="16">
        <f>7722.5+4000</f>
        <v>11722.5</v>
      </c>
      <c r="F36" s="82" t="s">
        <v>10</v>
      </c>
      <c r="G36" s="31" t="s">
        <v>58</v>
      </c>
    </row>
    <row r="37" spans="1:7" ht="12.75" thickBot="1" x14ac:dyDescent="0.25">
      <c r="A37" s="70"/>
      <c r="B37" s="69"/>
      <c r="C37" s="70"/>
      <c r="D37" s="69"/>
      <c r="E37" s="15">
        <v>1343.91</v>
      </c>
      <c r="F37" s="69"/>
      <c r="G37" s="28" t="s">
        <v>23</v>
      </c>
    </row>
    <row r="38" spans="1:7" x14ac:dyDescent="0.2">
      <c r="A38" s="84">
        <v>26</v>
      </c>
      <c r="B38" s="82" t="s">
        <v>78</v>
      </c>
      <c r="C38" s="84">
        <v>27759560625</v>
      </c>
      <c r="D38" s="82" t="s">
        <v>80</v>
      </c>
      <c r="E38" s="16">
        <v>6483.03</v>
      </c>
      <c r="F38" s="82" t="s">
        <v>10</v>
      </c>
      <c r="G38" s="31" t="s">
        <v>79</v>
      </c>
    </row>
    <row r="39" spans="1:7" ht="15.75" customHeight="1" thickBot="1" x14ac:dyDescent="0.25">
      <c r="A39" s="85"/>
      <c r="B39" s="83"/>
      <c r="C39" s="85"/>
      <c r="D39" s="83"/>
      <c r="E39" s="18">
        <v>569.5</v>
      </c>
      <c r="F39" s="83"/>
      <c r="G39" s="32" t="s">
        <v>23</v>
      </c>
    </row>
    <row r="40" spans="1:7" x14ac:dyDescent="0.2">
      <c r="A40" s="37">
        <v>27</v>
      </c>
      <c r="B40" s="5" t="s">
        <v>800</v>
      </c>
      <c r="C40" s="11">
        <v>91367259285</v>
      </c>
      <c r="D40" s="5" t="s">
        <v>801</v>
      </c>
      <c r="E40" s="8">
        <v>1635.46</v>
      </c>
      <c r="F40" s="5" t="s">
        <v>10</v>
      </c>
      <c r="G40" s="2" t="s">
        <v>147</v>
      </c>
    </row>
    <row r="41" spans="1:7" x14ac:dyDescent="0.2">
      <c r="A41" s="11">
        <v>28</v>
      </c>
      <c r="B41" s="5" t="s">
        <v>834</v>
      </c>
      <c r="C41" s="11">
        <v>67003741356</v>
      </c>
      <c r="D41" s="5" t="s">
        <v>510</v>
      </c>
      <c r="E41" s="8">
        <v>29.88</v>
      </c>
      <c r="F41" s="5" t="s">
        <v>10</v>
      </c>
      <c r="G41" s="2" t="s">
        <v>23</v>
      </c>
    </row>
    <row r="42" spans="1:7" x14ac:dyDescent="0.2">
      <c r="A42" s="37">
        <v>29</v>
      </c>
      <c r="B42" s="5" t="s">
        <v>832</v>
      </c>
      <c r="C42" s="11">
        <v>21680443525</v>
      </c>
      <c r="D42" s="5" t="s">
        <v>833</v>
      </c>
      <c r="E42" s="8">
        <v>364.5</v>
      </c>
      <c r="F42" s="5" t="s">
        <v>10</v>
      </c>
      <c r="G42" s="2" t="s">
        <v>23</v>
      </c>
    </row>
    <row r="43" spans="1:7" x14ac:dyDescent="0.2">
      <c r="A43" s="11">
        <v>30</v>
      </c>
      <c r="B43" s="5" t="s">
        <v>552</v>
      </c>
      <c r="C43" s="12" t="s">
        <v>554</v>
      </c>
      <c r="D43" s="5" t="s">
        <v>1338</v>
      </c>
      <c r="E43" s="8">
        <f>10.13+377.55</f>
        <v>387.68</v>
      </c>
      <c r="F43" s="5" t="s">
        <v>10</v>
      </c>
      <c r="G43" s="2" t="s">
        <v>23</v>
      </c>
    </row>
    <row r="44" spans="1:7" x14ac:dyDescent="0.2">
      <c r="A44" s="37">
        <v>31</v>
      </c>
      <c r="B44" s="5" t="s">
        <v>1125</v>
      </c>
      <c r="C44" s="11">
        <v>74056056752</v>
      </c>
      <c r="D44" s="5" t="s">
        <v>776</v>
      </c>
      <c r="E44" s="8">
        <v>52.76</v>
      </c>
      <c r="F44" s="5" t="s">
        <v>10</v>
      </c>
      <c r="G44" s="2" t="s">
        <v>23</v>
      </c>
    </row>
    <row r="45" spans="1:7" x14ac:dyDescent="0.2">
      <c r="A45" s="11">
        <v>32</v>
      </c>
      <c r="B45" s="44" t="s">
        <v>181</v>
      </c>
      <c r="C45" s="45">
        <v>71642207963</v>
      </c>
      <c r="D45" s="44" t="s">
        <v>232</v>
      </c>
      <c r="E45" s="8">
        <v>52.62</v>
      </c>
      <c r="F45" s="5" t="s">
        <v>10</v>
      </c>
      <c r="G45" s="2" t="s">
        <v>23</v>
      </c>
    </row>
    <row r="46" spans="1:7" x14ac:dyDescent="0.2">
      <c r="A46" s="37">
        <v>33</v>
      </c>
      <c r="B46" s="5" t="s">
        <v>100</v>
      </c>
      <c r="C46" s="11" t="s">
        <v>17</v>
      </c>
      <c r="D46" s="5" t="s">
        <v>17</v>
      </c>
      <c r="E46" s="8">
        <v>281.41000000000003</v>
      </c>
      <c r="F46" s="5" t="s">
        <v>10</v>
      </c>
      <c r="G46" s="2" t="s">
        <v>99</v>
      </c>
    </row>
    <row r="47" spans="1:7" x14ac:dyDescent="0.2">
      <c r="A47" s="11">
        <v>34</v>
      </c>
      <c r="B47" s="5" t="s">
        <v>17</v>
      </c>
      <c r="C47" s="11" t="s">
        <v>17</v>
      </c>
      <c r="D47" s="5" t="s">
        <v>17</v>
      </c>
      <c r="E47" s="8">
        <v>2688</v>
      </c>
      <c r="F47" s="5" t="s">
        <v>10</v>
      </c>
      <c r="G47" s="2" t="s">
        <v>101</v>
      </c>
    </row>
    <row r="48" spans="1:7" x14ac:dyDescent="0.2">
      <c r="A48" s="37">
        <v>35</v>
      </c>
      <c r="B48" s="5" t="s">
        <v>711</v>
      </c>
      <c r="C48" s="11">
        <v>33813961569</v>
      </c>
      <c r="D48" s="5" t="s">
        <v>712</v>
      </c>
      <c r="E48" s="8">
        <f>459.59+651.93</f>
        <v>1111.52</v>
      </c>
      <c r="F48" s="5" t="s">
        <v>10</v>
      </c>
      <c r="G48" s="2" t="s">
        <v>112</v>
      </c>
    </row>
    <row r="49" spans="1:9" x14ac:dyDescent="0.2">
      <c r="A49" s="11">
        <v>36</v>
      </c>
      <c r="B49" s="5" t="s">
        <v>1414</v>
      </c>
      <c r="C49" s="11">
        <v>99080771351</v>
      </c>
      <c r="D49" s="5" t="s">
        <v>1415</v>
      </c>
      <c r="E49" s="8">
        <v>192.31</v>
      </c>
      <c r="F49" s="5" t="s">
        <v>10</v>
      </c>
      <c r="G49" s="2" t="s">
        <v>23</v>
      </c>
    </row>
    <row r="50" spans="1:9" x14ac:dyDescent="0.2">
      <c r="A50" s="37">
        <v>37</v>
      </c>
      <c r="B50" s="5" t="s">
        <v>890</v>
      </c>
      <c r="C50" s="12" t="s">
        <v>892</v>
      </c>
      <c r="D50" s="5" t="s">
        <v>891</v>
      </c>
      <c r="E50" s="8">
        <v>240</v>
      </c>
      <c r="F50" s="5" t="s">
        <v>10</v>
      </c>
      <c r="G50" s="2" t="s">
        <v>23</v>
      </c>
    </row>
    <row r="51" spans="1:9" x14ac:dyDescent="0.2">
      <c r="A51" s="11">
        <v>38</v>
      </c>
      <c r="B51" s="5" t="s">
        <v>109</v>
      </c>
      <c r="C51" s="11">
        <v>32179081874</v>
      </c>
      <c r="D51" s="5" t="s">
        <v>110</v>
      </c>
      <c r="E51" s="15">
        <f>42.26+1476.26+324.26</f>
        <v>1842.78</v>
      </c>
      <c r="F51" s="19" t="s">
        <v>10</v>
      </c>
      <c r="G51" s="28" t="s">
        <v>23</v>
      </c>
    </row>
    <row r="52" spans="1:9" x14ac:dyDescent="0.2">
      <c r="A52" s="37">
        <v>39</v>
      </c>
      <c r="B52" s="23" t="s">
        <v>113</v>
      </c>
      <c r="C52" s="24">
        <v>76173743169</v>
      </c>
      <c r="D52" s="23" t="s">
        <v>111</v>
      </c>
      <c r="E52" s="8">
        <f>33.18+677.56</f>
        <v>710.7399999999999</v>
      </c>
      <c r="F52" s="23" t="s">
        <v>10</v>
      </c>
      <c r="G52" s="2" t="s">
        <v>108</v>
      </c>
    </row>
    <row r="53" spans="1:9" ht="12.75" thickBot="1" x14ac:dyDescent="0.25">
      <c r="A53" s="11">
        <v>40</v>
      </c>
      <c r="B53" s="19" t="s">
        <v>1493</v>
      </c>
      <c r="C53" s="43">
        <v>35798309099</v>
      </c>
      <c r="D53" s="19" t="s">
        <v>1494</v>
      </c>
      <c r="E53" s="15">
        <v>118.2</v>
      </c>
      <c r="F53" s="19" t="s">
        <v>10</v>
      </c>
      <c r="G53" s="28" t="s">
        <v>23</v>
      </c>
    </row>
    <row r="54" spans="1:9" x14ac:dyDescent="0.2">
      <c r="A54" s="84">
        <v>41</v>
      </c>
      <c r="B54" s="82" t="s">
        <v>119</v>
      </c>
      <c r="C54" s="84">
        <v>34976993601</v>
      </c>
      <c r="D54" s="82" t="s">
        <v>120</v>
      </c>
      <c r="E54" s="16">
        <f>200.75+75.44</f>
        <v>276.19</v>
      </c>
      <c r="F54" s="82" t="s">
        <v>10</v>
      </c>
      <c r="G54" s="31" t="s">
        <v>118</v>
      </c>
    </row>
    <row r="55" spans="1:9" ht="12.75" thickBot="1" x14ac:dyDescent="0.25">
      <c r="A55" s="85"/>
      <c r="B55" s="83"/>
      <c r="C55" s="85"/>
      <c r="D55" s="83"/>
      <c r="E55" s="18">
        <f>74.11+97.38+457.09</f>
        <v>628.57999999999993</v>
      </c>
      <c r="F55" s="83"/>
      <c r="G55" s="32" t="s">
        <v>287</v>
      </c>
    </row>
    <row r="56" spans="1:9" x14ac:dyDescent="0.2">
      <c r="A56" s="37">
        <v>42</v>
      </c>
      <c r="B56" s="33" t="s">
        <v>17</v>
      </c>
      <c r="C56" s="37" t="s">
        <v>17</v>
      </c>
      <c r="D56" s="33" t="s">
        <v>17</v>
      </c>
      <c r="E56" s="17">
        <v>1753.1</v>
      </c>
      <c r="F56" s="33" t="s">
        <v>10</v>
      </c>
      <c r="G56" s="34" t="s">
        <v>121</v>
      </c>
    </row>
    <row r="57" spans="1:9" x14ac:dyDescent="0.2">
      <c r="A57" s="11">
        <v>43</v>
      </c>
      <c r="B57" s="5" t="s">
        <v>17</v>
      </c>
      <c r="C57" s="11" t="s">
        <v>17</v>
      </c>
      <c r="D57" s="5" t="s">
        <v>17</v>
      </c>
      <c r="E57" s="8">
        <v>25255.48</v>
      </c>
      <c r="F57" s="5" t="s">
        <v>10</v>
      </c>
      <c r="G57" s="2" t="s">
        <v>122</v>
      </c>
    </row>
    <row r="58" spans="1:9" x14ac:dyDescent="0.2">
      <c r="A58" s="11">
        <v>44</v>
      </c>
      <c r="B58" s="5" t="s">
        <v>1495</v>
      </c>
      <c r="C58" s="11">
        <v>34614933448</v>
      </c>
      <c r="D58" s="5" t="s">
        <v>1496</v>
      </c>
      <c r="E58" s="8">
        <v>747.5</v>
      </c>
      <c r="F58" s="5" t="s">
        <v>10</v>
      </c>
      <c r="G58" s="2" t="s">
        <v>23</v>
      </c>
    </row>
    <row r="59" spans="1:9" x14ac:dyDescent="0.2">
      <c r="A59" s="11">
        <v>45</v>
      </c>
      <c r="B59" s="5" t="s">
        <v>489</v>
      </c>
      <c r="C59" s="11">
        <v>74956515628</v>
      </c>
      <c r="D59" s="5" t="s">
        <v>490</v>
      </c>
      <c r="E59" s="8">
        <v>7062.5</v>
      </c>
      <c r="F59" s="5" t="s">
        <v>10</v>
      </c>
      <c r="G59" s="2" t="s">
        <v>23</v>
      </c>
    </row>
    <row r="60" spans="1:9" x14ac:dyDescent="0.2">
      <c r="A60" s="11">
        <v>46</v>
      </c>
      <c r="B60" s="5" t="s">
        <v>1497</v>
      </c>
      <c r="C60" s="11">
        <v>62998546719</v>
      </c>
      <c r="D60" s="5" t="s">
        <v>1498</v>
      </c>
      <c r="E60" s="8">
        <v>779.91</v>
      </c>
      <c r="F60" s="5" t="s">
        <v>10</v>
      </c>
      <c r="G60" s="2" t="s">
        <v>147</v>
      </c>
    </row>
    <row r="61" spans="1:9" x14ac:dyDescent="0.2">
      <c r="A61" s="11">
        <v>47</v>
      </c>
      <c r="B61" s="5" t="s">
        <v>578</v>
      </c>
      <c r="C61" s="11">
        <v>64691033428</v>
      </c>
      <c r="D61" s="5" t="s">
        <v>601</v>
      </c>
      <c r="E61" s="8">
        <f>37.9+1627</f>
        <v>1664.9</v>
      </c>
      <c r="F61" s="23" t="s">
        <v>10</v>
      </c>
      <c r="G61" s="2" t="s">
        <v>23</v>
      </c>
    </row>
    <row r="62" spans="1:9" x14ac:dyDescent="0.2">
      <c r="A62" s="11">
        <v>48</v>
      </c>
      <c r="B62" s="23" t="s">
        <v>132</v>
      </c>
      <c r="C62" s="24">
        <v>81793146560</v>
      </c>
      <c r="D62" s="23" t="s">
        <v>133</v>
      </c>
      <c r="E62" s="8">
        <f>16.31+2000.5</f>
        <v>2016.81</v>
      </c>
      <c r="F62" s="5" t="s">
        <v>10</v>
      </c>
      <c r="G62" s="2" t="s">
        <v>292</v>
      </c>
    </row>
    <row r="63" spans="1:9" x14ac:dyDescent="0.2">
      <c r="A63" s="11">
        <v>49</v>
      </c>
      <c r="B63" s="5" t="s">
        <v>443</v>
      </c>
      <c r="C63" s="11" t="s">
        <v>17</v>
      </c>
      <c r="D63" s="5" t="s">
        <v>17</v>
      </c>
      <c r="E63" s="8">
        <v>200</v>
      </c>
      <c r="F63" s="5" t="s">
        <v>10</v>
      </c>
      <c r="G63" s="2" t="s">
        <v>179</v>
      </c>
      <c r="I63" s="13"/>
    </row>
    <row r="64" spans="1:9" x14ac:dyDescent="0.2">
      <c r="A64" s="11">
        <v>50</v>
      </c>
      <c r="B64" s="5" t="s">
        <v>546</v>
      </c>
      <c r="C64" s="11">
        <v>56717147376</v>
      </c>
      <c r="D64" s="5" t="s">
        <v>547</v>
      </c>
      <c r="E64" s="8">
        <v>1205.83</v>
      </c>
      <c r="F64" s="5" t="s">
        <v>10</v>
      </c>
      <c r="G64" s="2" t="s">
        <v>23</v>
      </c>
    </row>
    <row r="65" spans="1:9" x14ac:dyDescent="0.2">
      <c r="A65" s="11">
        <v>51</v>
      </c>
      <c r="B65" s="5" t="s">
        <v>846</v>
      </c>
      <c r="C65" s="11">
        <v>51469557335</v>
      </c>
      <c r="D65" s="5" t="s">
        <v>847</v>
      </c>
      <c r="E65" s="8">
        <v>77.400000000000006</v>
      </c>
      <c r="F65" s="5" t="s">
        <v>10</v>
      </c>
      <c r="G65" s="2" t="s">
        <v>23</v>
      </c>
    </row>
    <row r="66" spans="1:9" x14ac:dyDescent="0.2">
      <c r="A66" s="11">
        <v>52</v>
      </c>
      <c r="B66" s="5" t="s">
        <v>138</v>
      </c>
      <c r="C66" s="11">
        <v>46163832762</v>
      </c>
      <c r="D66" s="5" t="s">
        <v>202</v>
      </c>
      <c r="E66" s="8">
        <v>259.73</v>
      </c>
      <c r="F66" s="5" t="s">
        <v>10</v>
      </c>
      <c r="G66" s="2" t="s">
        <v>112</v>
      </c>
    </row>
    <row r="67" spans="1:9" x14ac:dyDescent="0.2">
      <c r="A67" s="11">
        <v>53</v>
      </c>
      <c r="B67" s="5" t="s">
        <v>140</v>
      </c>
      <c r="C67" s="11">
        <v>41412434130</v>
      </c>
      <c r="D67" s="5" t="s">
        <v>197</v>
      </c>
      <c r="E67" s="8">
        <v>67.28</v>
      </c>
      <c r="F67" s="5" t="s">
        <v>10</v>
      </c>
      <c r="G67" s="2" t="s">
        <v>112</v>
      </c>
    </row>
    <row r="68" spans="1:9" x14ac:dyDescent="0.2">
      <c r="A68" s="11">
        <v>54</v>
      </c>
      <c r="B68" s="5" t="s">
        <v>855</v>
      </c>
      <c r="C68" s="11">
        <v>41317489366</v>
      </c>
      <c r="D68" s="5" t="s">
        <v>856</v>
      </c>
      <c r="E68" s="8">
        <f>1.4+3.61+1.4</f>
        <v>6.41</v>
      </c>
      <c r="F68" s="5" t="s">
        <v>10</v>
      </c>
      <c r="G68" s="2" t="s">
        <v>263</v>
      </c>
      <c r="I68" s="13"/>
    </row>
    <row r="69" spans="1:9" x14ac:dyDescent="0.2">
      <c r="A69" s="11">
        <v>55</v>
      </c>
      <c r="B69" s="5" t="s">
        <v>142</v>
      </c>
      <c r="C69" s="12" t="s">
        <v>203</v>
      </c>
      <c r="D69" s="5" t="s">
        <v>204</v>
      </c>
      <c r="E69" s="8">
        <v>158.69999999999999</v>
      </c>
      <c r="F69" s="5" t="s">
        <v>10</v>
      </c>
      <c r="G69" s="2" t="s">
        <v>112</v>
      </c>
    </row>
    <row r="70" spans="1:9" x14ac:dyDescent="0.2">
      <c r="A70" s="11">
        <v>56</v>
      </c>
      <c r="B70" s="5" t="s">
        <v>143</v>
      </c>
      <c r="C70" s="11">
        <v>85584865987</v>
      </c>
      <c r="D70" s="5" t="s">
        <v>205</v>
      </c>
      <c r="E70" s="8">
        <f>1515.92+1670.74</f>
        <v>3186.66</v>
      </c>
      <c r="F70" s="5" t="s">
        <v>10</v>
      </c>
      <c r="G70" s="2" t="s">
        <v>112</v>
      </c>
    </row>
    <row r="71" spans="1:9" x14ac:dyDescent="0.2">
      <c r="A71" s="11">
        <v>57</v>
      </c>
      <c r="B71" s="5" t="s">
        <v>144</v>
      </c>
      <c r="C71" s="11" t="s">
        <v>740</v>
      </c>
      <c r="D71" s="5" t="s">
        <v>740</v>
      </c>
      <c r="E71" s="8">
        <v>1176</v>
      </c>
      <c r="F71" s="5" t="s">
        <v>10</v>
      </c>
      <c r="G71" s="2" t="s">
        <v>145</v>
      </c>
    </row>
    <row r="72" spans="1:9" x14ac:dyDescent="0.2">
      <c r="A72" s="11">
        <v>58</v>
      </c>
      <c r="B72" s="5" t="s">
        <v>575</v>
      </c>
      <c r="C72" s="11">
        <v>67337315718</v>
      </c>
      <c r="D72" s="5" t="s">
        <v>597</v>
      </c>
      <c r="E72" s="8">
        <v>3785.28</v>
      </c>
      <c r="F72" s="5" t="s">
        <v>10</v>
      </c>
      <c r="G72" s="2" t="s">
        <v>23</v>
      </c>
    </row>
    <row r="73" spans="1:9" x14ac:dyDescent="0.2">
      <c r="A73" s="11">
        <v>59</v>
      </c>
      <c r="B73" s="5" t="s">
        <v>868</v>
      </c>
      <c r="C73" s="11">
        <v>11374156664</v>
      </c>
      <c r="D73" s="5" t="s">
        <v>869</v>
      </c>
      <c r="E73" s="8">
        <f>27.33+120.05+379.96</f>
        <v>527.33999999999992</v>
      </c>
      <c r="F73" s="5" t="s">
        <v>10</v>
      </c>
      <c r="G73" s="2" t="s">
        <v>23</v>
      </c>
    </row>
    <row r="74" spans="1:9" x14ac:dyDescent="0.2">
      <c r="A74" s="11">
        <v>60</v>
      </c>
      <c r="B74" s="5" t="s">
        <v>405</v>
      </c>
      <c r="C74" s="11">
        <v>38411868043</v>
      </c>
      <c r="D74" s="5" t="s">
        <v>406</v>
      </c>
      <c r="E74" s="8">
        <f>2887.5+2750</f>
        <v>5637.5</v>
      </c>
      <c r="F74" s="5" t="s">
        <v>10</v>
      </c>
      <c r="G74" s="2" t="s">
        <v>23</v>
      </c>
    </row>
    <row r="75" spans="1:9" x14ac:dyDescent="0.2">
      <c r="A75" s="11">
        <v>61</v>
      </c>
      <c r="B75" s="5" t="s">
        <v>282</v>
      </c>
      <c r="C75" s="11">
        <v>55175013491</v>
      </c>
      <c r="D75" s="5" t="s">
        <v>283</v>
      </c>
      <c r="E75" s="8">
        <f>1342.76+1210.69+1166.66+968.76</f>
        <v>4688.87</v>
      </c>
      <c r="F75" s="5" t="s">
        <v>10</v>
      </c>
      <c r="G75" s="2" t="s">
        <v>23</v>
      </c>
    </row>
    <row r="76" spans="1:9" x14ac:dyDescent="0.2">
      <c r="A76" s="11">
        <v>62</v>
      </c>
      <c r="B76" s="5" t="s">
        <v>559</v>
      </c>
      <c r="C76" s="11">
        <v>80523849112</v>
      </c>
      <c r="D76" s="5" t="s">
        <v>560</v>
      </c>
      <c r="E76" s="8">
        <v>417.62</v>
      </c>
      <c r="F76" s="5" t="s">
        <v>10</v>
      </c>
      <c r="G76" s="2" t="s">
        <v>23</v>
      </c>
    </row>
    <row r="77" spans="1:9" x14ac:dyDescent="0.2">
      <c r="A77" s="11">
        <v>63</v>
      </c>
      <c r="B77" s="5" t="s">
        <v>364</v>
      </c>
      <c r="C77" s="11">
        <v>42769559951</v>
      </c>
      <c r="D77" s="5" t="s">
        <v>365</v>
      </c>
      <c r="E77" s="8">
        <f>42000+60000.08</f>
        <v>102000.08</v>
      </c>
      <c r="F77" s="5" t="s">
        <v>10</v>
      </c>
      <c r="G77" s="2" t="s">
        <v>23</v>
      </c>
    </row>
    <row r="78" spans="1:9" x14ac:dyDescent="0.2">
      <c r="A78" s="11">
        <v>64</v>
      </c>
      <c r="B78" s="5" t="s">
        <v>857</v>
      </c>
      <c r="C78" s="11">
        <v>29035933600</v>
      </c>
      <c r="D78" s="5" t="s">
        <v>447</v>
      </c>
      <c r="E78" s="8">
        <v>48.73</v>
      </c>
      <c r="F78" s="5" t="s">
        <v>10</v>
      </c>
      <c r="G78" s="2" t="s">
        <v>263</v>
      </c>
    </row>
    <row r="79" spans="1:9" x14ac:dyDescent="0.2">
      <c r="A79" s="11">
        <v>65</v>
      </c>
      <c r="B79" s="5" t="s">
        <v>979</v>
      </c>
      <c r="C79" s="11">
        <v>43654507669</v>
      </c>
      <c r="D79" s="5" t="s">
        <v>980</v>
      </c>
      <c r="E79" s="8">
        <v>81.36</v>
      </c>
      <c r="F79" s="5" t="s">
        <v>10</v>
      </c>
      <c r="G79" s="2" t="s">
        <v>62</v>
      </c>
    </row>
    <row r="80" spans="1:9" x14ac:dyDescent="0.2">
      <c r="A80" s="11">
        <v>66</v>
      </c>
      <c r="B80" s="5" t="s">
        <v>146</v>
      </c>
      <c r="C80" s="11">
        <v>58680938419</v>
      </c>
      <c r="D80" s="5" t="s">
        <v>206</v>
      </c>
      <c r="E80" s="8">
        <v>123.53</v>
      </c>
      <c r="F80" s="5" t="s">
        <v>10</v>
      </c>
      <c r="G80" s="2" t="s">
        <v>23</v>
      </c>
    </row>
    <row r="81" spans="1:9" x14ac:dyDescent="0.2">
      <c r="A81" s="11">
        <v>67</v>
      </c>
      <c r="B81" s="5" t="s">
        <v>157</v>
      </c>
      <c r="C81" s="11" t="s">
        <v>216</v>
      </c>
      <c r="D81" s="5" t="s">
        <v>158</v>
      </c>
      <c r="E81" s="8">
        <f>1308.6+27500+2500+1900</f>
        <v>33208.6</v>
      </c>
      <c r="F81" s="5" t="s">
        <v>10</v>
      </c>
      <c r="G81" s="2" t="s">
        <v>23</v>
      </c>
    </row>
    <row r="82" spans="1:9" x14ac:dyDescent="0.2">
      <c r="A82" s="11">
        <v>68</v>
      </c>
      <c r="B82" s="5" t="s">
        <v>96</v>
      </c>
      <c r="C82" s="11">
        <v>78997473821</v>
      </c>
      <c r="D82" s="5" t="s">
        <v>98</v>
      </c>
      <c r="E82" s="8">
        <v>60.35</v>
      </c>
      <c r="F82" s="5" t="s">
        <v>10</v>
      </c>
      <c r="G82" s="2" t="s">
        <v>97</v>
      </c>
    </row>
    <row r="83" spans="1:9" x14ac:dyDescent="0.2">
      <c r="A83" s="11">
        <v>69</v>
      </c>
      <c r="B83" s="5" t="s">
        <v>296</v>
      </c>
      <c r="C83" s="11">
        <v>83416546499</v>
      </c>
      <c r="D83" s="5" t="s">
        <v>299</v>
      </c>
      <c r="E83" s="8">
        <v>37.49</v>
      </c>
      <c r="F83" s="5" t="s">
        <v>10</v>
      </c>
      <c r="G83" s="2" t="s">
        <v>64</v>
      </c>
    </row>
    <row r="84" spans="1:9" x14ac:dyDescent="0.2">
      <c r="A84" s="11">
        <v>70</v>
      </c>
      <c r="B84" s="5" t="s">
        <v>407</v>
      </c>
      <c r="C84" s="11">
        <v>89027343720</v>
      </c>
      <c r="D84" s="5" t="s">
        <v>408</v>
      </c>
      <c r="E84" s="8">
        <v>4000</v>
      </c>
      <c r="F84" s="5" t="s">
        <v>10</v>
      </c>
      <c r="G84" s="2" t="s">
        <v>23</v>
      </c>
    </row>
    <row r="85" spans="1:9" x14ac:dyDescent="0.2">
      <c r="A85" s="11">
        <v>71</v>
      </c>
      <c r="B85" s="5" t="s">
        <v>165</v>
      </c>
      <c r="C85" s="11">
        <v>62534176727</v>
      </c>
      <c r="D85" s="5" t="s">
        <v>222</v>
      </c>
      <c r="E85" s="8">
        <f>2543.75+290.5+290.5+12571.32</f>
        <v>15696.07</v>
      </c>
      <c r="F85" s="5" t="s">
        <v>10</v>
      </c>
      <c r="G85" s="2" t="s">
        <v>23</v>
      </c>
    </row>
    <row r="86" spans="1:9" x14ac:dyDescent="0.2">
      <c r="A86" s="11">
        <v>72</v>
      </c>
      <c r="B86" s="5" t="s">
        <v>170</v>
      </c>
      <c r="C86" s="11">
        <v>52233171260</v>
      </c>
      <c r="D86" s="5" t="s">
        <v>224</v>
      </c>
      <c r="E86" s="15">
        <f>4021+10956.15</f>
        <v>14977.15</v>
      </c>
      <c r="F86" s="19" t="s">
        <v>10</v>
      </c>
      <c r="G86" s="28" t="s">
        <v>23</v>
      </c>
    </row>
    <row r="87" spans="1:9" x14ac:dyDescent="0.2">
      <c r="A87" s="11">
        <v>73</v>
      </c>
      <c r="B87" s="23" t="s">
        <v>168</v>
      </c>
      <c r="C87" s="24">
        <v>87682591133</v>
      </c>
      <c r="D87" s="23" t="s">
        <v>223</v>
      </c>
      <c r="E87" s="15">
        <f>34684+8517.5+5285.6</f>
        <v>48487.1</v>
      </c>
      <c r="F87" s="23" t="s">
        <v>10</v>
      </c>
      <c r="G87" s="28" t="s">
        <v>23</v>
      </c>
      <c r="I87" s="13"/>
    </row>
    <row r="88" spans="1:9" x14ac:dyDescent="0.2">
      <c r="A88" s="11">
        <v>74</v>
      </c>
      <c r="B88" s="50" t="s">
        <v>169</v>
      </c>
      <c r="C88" s="11">
        <v>19849957757</v>
      </c>
      <c r="D88" s="50" t="s">
        <v>225</v>
      </c>
      <c r="E88" s="8">
        <f>119.05+842.23+11970.75+15097.4</f>
        <v>28029.43</v>
      </c>
      <c r="F88" s="50" t="s">
        <v>10</v>
      </c>
      <c r="G88" s="2" t="s">
        <v>23</v>
      </c>
    </row>
    <row r="89" spans="1:9" x14ac:dyDescent="0.2">
      <c r="A89" s="11">
        <v>75</v>
      </c>
      <c r="B89" s="5" t="s">
        <v>127</v>
      </c>
      <c r="C89" s="11">
        <v>28921383001</v>
      </c>
      <c r="D89" s="5" t="s">
        <v>129</v>
      </c>
      <c r="E89" s="8">
        <v>268.32</v>
      </c>
      <c r="F89" s="5" t="s">
        <v>10</v>
      </c>
      <c r="G89" s="2" t="s">
        <v>128</v>
      </c>
    </row>
    <row r="90" spans="1:9" x14ac:dyDescent="0.2">
      <c r="A90" s="11">
        <v>76</v>
      </c>
      <c r="B90" s="5" t="s">
        <v>730</v>
      </c>
      <c r="C90" s="11">
        <v>85821130368</v>
      </c>
      <c r="D90" s="5" t="s">
        <v>731</v>
      </c>
      <c r="E90" s="8">
        <v>81.3</v>
      </c>
      <c r="F90" s="27" t="s">
        <v>10</v>
      </c>
      <c r="G90" s="2" t="s">
        <v>176</v>
      </c>
    </row>
    <row r="91" spans="1:9" x14ac:dyDescent="0.2">
      <c r="A91" s="11">
        <v>77</v>
      </c>
      <c r="B91" s="5" t="s">
        <v>154</v>
      </c>
      <c r="C91" s="11">
        <v>33001753417</v>
      </c>
      <c r="D91" s="5" t="s">
        <v>213</v>
      </c>
      <c r="E91" s="8">
        <v>2400</v>
      </c>
      <c r="F91" s="5" t="s">
        <v>10</v>
      </c>
      <c r="G91" s="2" t="s">
        <v>23</v>
      </c>
    </row>
    <row r="92" spans="1:9" x14ac:dyDescent="0.2">
      <c r="A92" s="11">
        <v>78</v>
      </c>
      <c r="B92" s="5" t="s">
        <v>270</v>
      </c>
      <c r="C92" s="11">
        <v>31174430130</v>
      </c>
      <c r="D92" s="5" t="s">
        <v>271</v>
      </c>
      <c r="E92" s="8">
        <v>331.97</v>
      </c>
      <c r="F92" s="5" t="s">
        <v>10</v>
      </c>
      <c r="G92" s="2" t="s">
        <v>112</v>
      </c>
    </row>
    <row r="93" spans="1:9" x14ac:dyDescent="0.2">
      <c r="A93" s="11">
        <v>79</v>
      </c>
      <c r="B93" s="5" t="s">
        <v>17</v>
      </c>
      <c r="C93" s="11" t="s">
        <v>17</v>
      </c>
      <c r="D93" s="5" t="s">
        <v>17</v>
      </c>
      <c r="E93" s="8">
        <f>16169.22+1400</f>
        <v>17569.22</v>
      </c>
      <c r="F93" s="5" t="s">
        <v>10</v>
      </c>
      <c r="G93" s="2" t="s">
        <v>177</v>
      </c>
    </row>
    <row r="94" spans="1:9" x14ac:dyDescent="0.2">
      <c r="A94" s="11">
        <v>80</v>
      </c>
      <c r="B94" s="19" t="s">
        <v>17</v>
      </c>
      <c r="C94" s="36" t="s">
        <v>17</v>
      </c>
      <c r="D94" s="19" t="s">
        <v>17</v>
      </c>
      <c r="E94" s="15">
        <f>3000+3000+2320.13</f>
        <v>8320.130000000001</v>
      </c>
      <c r="F94" s="19" t="s">
        <v>10</v>
      </c>
      <c r="G94" s="28" t="s">
        <v>178</v>
      </c>
    </row>
    <row r="95" spans="1:9" x14ac:dyDescent="0.2">
      <c r="A95" s="11">
        <v>81</v>
      </c>
      <c r="B95" s="5" t="s">
        <v>187</v>
      </c>
      <c r="C95" s="11">
        <v>22694857747</v>
      </c>
      <c r="D95" s="5" t="s">
        <v>239</v>
      </c>
      <c r="E95" s="8">
        <v>730.72</v>
      </c>
      <c r="F95" s="5" t="s">
        <v>10</v>
      </c>
      <c r="G95" s="2" t="s">
        <v>188</v>
      </c>
    </row>
    <row r="96" spans="1:9" x14ac:dyDescent="0.2">
      <c r="A96" s="11">
        <v>82</v>
      </c>
      <c r="B96" s="5" t="s">
        <v>230</v>
      </c>
      <c r="C96" s="11">
        <v>62969535840</v>
      </c>
      <c r="D96" s="5" t="s">
        <v>231</v>
      </c>
      <c r="E96" s="20">
        <f>250.16+492.6+726.83</f>
        <v>1469.5900000000001</v>
      </c>
      <c r="F96" s="40" t="s">
        <v>10</v>
      </c>
      <c r="G96" s="41" t="s">
        <v>23</v>
      </c>
    </row>
    <row r="97" spans="1:9" x14ac:dyDescent="0.2">
      <c r="A97" s="11">
        <v>83</v>
      </c>
      <c r="B97" s="5" t="s">
        <v>704</v>
      </c>
      <c r="C97" s="11">
        <v>11294943436</v>
      </c>
      <c r="D97" s="5" t="s">
        <v>705</v>
      </c>
      <c r="E97" s="8">
        <v>61.41</v>
      </c>
      <c r="F97" s="5" t="s">
        <v>10</v>
      </c>
      <c r="G97" s="2" t="s">
        <v>112</v>
      </c>
    </row>
    <row r="98" spans="1:9" x14ac:dyDescent="0.2">
      <c r="A98" s="11">
        <v>84</v>
      </c>
      <c r="B98" s="5" t="s">
        <v>676</v>
      </c>
      <c r="C98" s="11" t="s">
        <v>677</v>
      </c>
      <c r="D98" s="5" t="s">
        <v>678</v>
      </c>
      <c r="E98" s="8">
        <v>152.85</v>
      </c>
      <c r="F98" s="5" t="s">
        <v>10</v>
      </c>
      <c r="G98" s="2" t="s">
        <v>23</v>
      </c>
    </row>
    <row r="99" spans="1:9" x14ac:dyDescent="0.2">
      <c r="A99" s="11">
        <v>85</v>
      </c>
      <c r="B99" s="5" t="s">
        <v>17</v>
      </c>
      <c r="C99" s="11" t="s">
        <v>17</v>
      </c>
      <c r="D99" s="5" t="s">
        <v>17</v>
      </c>
      <c r="E99" s="8">
        <v>1050</v>
      </c>
      <c r="F99" s="5" t="s">
        <v>10</v>
      </c>
      <c r="G99" s="2" t="s">
        <v>107</v>
      </c>
    </row>
    <row r="100" spans="1:9" x14ac:dyDescent="0.2">
      <c r="A100" s="11">
        <v>86</v>
      </c>
      <c r="B100" s="5" t="s">
        <v>17</v>
      </c>
      <c r="C100" s="11" t="s">
        <v>17</v>
      </c>
      <c r="D100" s="5" t="s">
        <v>17</v>
      </c>
      <c r="E100" s="8">
        <v>413.44</v>
      </c>
      <c r="F100" s="5" t="s">
        <v>10</v>
      </c>
      <c r="G100" s="2" t="s">
        <v>194</v>
      </c>
    </row>
    <row r="101" spans="1:9" x14ac:dyDescent="0.2">
      <c r="A101" s="11">
        <v>87</v>
      </c>
      <c r="B101" s="5" t="s">
        <v>242</v>
      </c>
      <c r="C101" s="11">
        <v>49800593791</v>
      </c>
      <c r="D101" s="5" t="s">
        <v>244</v>
      </c>
      <c r="E101" s="8">
        <f>4086.44+5069.12+1412.5+500</f>
        <v>11068.06</v>
      </c>
      <c r="F101" s="5" t="s">
        <v>10</v>
      </c>
      <c r="G101" s="2" t="s">
        <v>243</v>
      </c>
    </row>
    <row r="102" spans="1:9" x14ac:dyDescent="0.2">
      <c r="A102" s="11">
        <v>88</v>
      </c>
      <c r="B102" s="5" t="s">
        <v>658</v>
      </c>
      <c r="C102" s="11">
        <v>24846301629</v>
      </c>
      <c r="D102" s="5" t="s">
        <v>659</v>
      </c>
      <c r="E102" s="15">
        <f>111.26+195.56</f>
        <v>306.82</v>
      </c>
      <c r="F102" s="19" t="s">
        <v>10</v>
      </c>
      <c r="G102" s="28" t="s">
        <v>23</v>
      </c>
      <c r="H102" s="13"/>
    </row>
    <row r="103" spans="1:9" x14ac:dyDescent="0.2">
      <c r="A103" s="11">
        <v>89</v>
      </c>
      <c r="B103" s="44" t="s">
        <v>248</v>
      </c>
      <c r="C103" s="45">
        <v>47428597158</v>
      </c>
      <c r="D103" s="44" t="s">
        <v>250</v>
      </c>
      <c r="E103" s="8">
        <f>924.28+987.4+5616.38</f>
        <v>7528.0599999999995</v>
      </c>
      <c r="F103" s="44" t="s">
        <v>10</v>
      </c>
      <c r="G103" s="2" t="s">
        <v>23</v>
      </c>
      <c r="I103" s="13"/>
    </row>
    <row r="104" spans="1:9" x14ac:dyDescent="0.2">
      <c r="A104" s="11">
        <v>90</v>
      </c>
      <c r="B104" s="5" t="s">
        <v>252</v>
      </c>
      <c r="C104" s="12" t="s">
        <v>254</v>
      </c>
      <c r="D104" s="5" t="s">
        <v>253</v>
      </c>
      <c r="E104" s="8">
        <v>316.75</v>
      </c>
      <c r="F104" s="5" t="s">
        <v>10</v>
      </c>
      <c r="G104" s="2" t="s">
        <v>112</v>
      </c>
    </row>
    <row r="105" spans="1:9" x14ac:dyDescent="0.2">
      <c r="A105" s="11">
        <v>91</v>
      </c>
      <c r="B105" s="5" t="s">
        <v>257</v>
      </c>
      <c r="C105" s="11">
        <v>25392808959</v>
      </c>
      <c r="D105" s="5" t="s">
        <v>258</v>
      </c>
      <c r="E105" s="8">
        <f>10368.63+14465.43+4919.4</f>
        <v>29753.46</v>
      </c>
      <c r="F105" s="5" t="s">
        <v>10</v>
      </c>
      <c r="G105" s="2" t="s">
        <v>23</v>
      </c>
      <c r="I105" s="13"/>
    </row>
    <row r="106" spans="1:9" x14ac:dyDescent="0.2">
      <c r="A106" s="11">
        <v>92</v>
      </c>
      <c r="B106" s="5" t="s">
        <v>1070</v>
      </c>
      <c r="C106" s="11">
        <v>73294314024</v>
      </c>
      <c r="D106" s="5" t="s">
        <v>675</v>
      </c>
      <c r="E106" s="8">
        <f>199.44+252.44</f>
        <v>451.88</v>
      </c>
      <c r="F106" s="5" t="s">
        <v>10</v>
      </c>
      <c r="G106" s="2" t="s">
        <v>662</v>
      </c>
    </row>
    <row r="107" spans="1:9" x14ac:dyDescent="0.2">
      <c r="A107" s="11">
        <v>93</v>
      </c>
      <c r="B107" s="5" t="s">
        <v>135</v>
      </c>
      <c r="C107" s="11">
        <v>38812451417</v>
      </c>
      <c r="D107" s="5" t="s">
        <v>198</v>
      </c>
      <c r="E107" s="8">
        <v>1018.33</v>
      </c>
      <c r="F107" s="5" t="s">
        <v>10</v>
      </c>
      <c r="G107" s="2" t="s">
        <v>112</v>
      </c>
    </row>
    <row r="108" spans="1:9" x14ac:dyDescent="0.2">
      <c r="A108" s="11">
        <v>94</v>
      </c>
      <c r="B108" s="5" t="s">
        <v>265</v>
      </c>
      <c r="C108" s="11">
        <v>63988426425</v>
      </c>
      <c r="D108" s="5" t="s">
        <v>266</v>
      </c>
      <c r="E108" s="8">
        <f>1178.75+6534.38+4000+15628+8943+2106+7420.19</f>
        <v>45810.320000000007</v>
      </c>
      <c r="F108" s="5" t="s">
        <v>10</v>
      </c>
      <c r="G108" s="2" t="s">
        <v>23</v>
      </c>
    </row>
    <row r="109" spans="1:9" x14ac:dyDescent="0.2">
      <c r="A109" s="11">
        <v>95</v>
      </c>
      <c r="B109" s="5" t="s">
        <v>1150</v>
      </c>
      <c r="C109" s="11">
        <v>75989437093</v>
      </c>
      <c r="D109" s="5" t="s">
        <v>1151</v>
      </c>
      <c r="E109" s="8">
        <v>117</v>
      </c>
      <c r="F109" s="5" t="s">
        <v>10</v>
      </c>
      <c r="G109" s="2" t="s">
        <v>23</v>
      </c>
    </row>
    <row r="110" spans="1:9" x14ac:dyDescent="0.2">
      <c r="A110" s="11">
        <v>96</v>
      </c>
      <c r="B110" s="23" t="s">
        <v>131</v>
      </c>
      <c r="C110" s="24">
        <v>70133616033</v>
      </c>
      <c r="D110" s="23" t="s">
        <v>134</v>
      </c>
      <c r="E110" s="8">
        <v>2346.61</v>
      </c>
      <c r="F110" s="5" t="s">
        <v>10</v>
      </c>
      <c r="G110" s="2" t="s">
        <v>292</v>
      </c>
    </row>
    <row r="111" spans="1:9" x14ac:dyDescent="0.2">
      <c r="A111" s="11">
        <v>97</v>
      </c>
      <c r="B111" s="50" t="s">
        <v>293</v>
      </c>
      <c r="C111" s="45">
        <v>65952859647</v>
      </c>
      <c r="D111" s="44" t="s">
        <v>295</v>
      </c>
      <c r="E111" s="8">
        <f>57425+41962.5</f>
        <v>99387.5</v>
      </c>
      <c r="F111" s="50" t="s">
        <v>10</v>
      </c>
      <c r="G111" s="2" t="s">
        <v>23</v>
      </c>
    </row>
    <row r="112" spans="1:9" x14ac:dyDescent="0.2">
      <c r="A112" s="11">
        <v>98</v>
      </c>
      <c r="B112" s="5" t="s">
        <v>284</v>
      </c>
      <c r="C112" s="11">
        <v>10235187780</v>
      </c>
      <c r="D112" s="5" t="s">
        <v>286</v>
      </c>
      <c r="E112" s="8">
        <v>354.3</v>
      </c>
      <c r="F112" s="5" t="s">
        <v>10</v>
      </c>
      <c r="G112" s="2" t="s">
        <v>285</v>
      </c>
    </row>
    <row r="113" spans="1:10" x14ac:dyDescent="0.2">
      <c r="A113" s="11">
        <v>99</v>
      </c>
      <c r="B113" s="5" t="s">
        <v>301</v>
      </c>
      <c r="C113" s="11">
        <v>60314119747</v>
      </c>
      <c r="D113" s="5" t="s">
        <v>298</v>
      </c>
      <c r="E113" s="8">
        <f>26000+53497.06+25028.44</f>
        <v>104525.5</v>
      </c>
      <c r="F113" s="5" t="s">
        <v>10</v>
      </c>
      <c r="G113" s="2" t="s">
        <v>23</v>
      </c>
    </row>
    <row r="114" spans="1:10" x14ac:dyDescent="0.2">
      <c r="A114" s="11">
        <v>100</v>
      </c>
      <c r="B114" s="5" t="s">
        <v>83</v>
      </c>
      <c r="C114" s="11">
        <v>68419124305</v>
      </c>
      <c r="D114" s="5" t="s">
        <v>84</v>
      </c>
      <c r="E114" s="8">
        <f>2*106.2</f>
        <v>212.4</v>
      </c>
      <c r="F114" s="5" t="s">
        <v>10</v>
      </c>
      <c r="G114" s="2" t="s">
        <v>82</v>
      </c>
    </row>
    <row r="115" spans="1:10" x14ac:dyDescent="0.2">
      <c r="A115" s="11">
        <v>101</v>
      </c>
      <c r="B115" s="5" t="s">
        <v>308</v>
      </c>
      <c r="C115" s="12" t="s">
        <v>310</v>
      </c>
      <c r="D115" s="5" t="s">
        <v>309</v>
      </c>
      <c r="E115" s="8">
        <f>1000+1187.5+3000+3000+2000+2875+1525</f>
        <v>14587.5</v>
      </c>
      <c r="F115" s="5" t="s">
        <v>10</v>
      </c>
      <c r="G115" s="2" t="s">
        <v>23</v>
      </c>
    </row>
    <row r="116" spans="1:10" x14ac:dyDescent="0.2">
      <c r="A116" s="11">
        <v>102</v>
      </c>
      <c r="B116" s="5" t="s">
        <v>311</v>
      </c>
      <c r="C116" s="11">
        <v>95243482140</v>
      </c>
      <c r="D116" s="5" t="s">
        <v>312</v>
      </c>
      <c r="E116" s="8">
        <f>198.93+1954.98+191.39+553.49</f>
        <v>2898.79</v>
      </c>
      <c r="F116" s="5" t="s">
        <v>10</v>
      </c>
      <c r="G116" s="2" t="s">
        <v>23</v>
      </c>
    </row>
    <row r="117" spans="1:10" x14ac:dyDescent="0.2">
      <c r="A117" s="11">
        <v>103</v>
      </c>
      <c r="B117" s="5" t="s">
        <v>665</v>
      </c>
      <c r="C117" s="11" t="s">
        <v>667</v>
      </c>
      <c r="D117" s="5" t="s">
        <v>666</v>
      </c>
      <c r="E117" s="8">
        <v>2000</v>
      </c>
      <c r="F117" s="5" t="s">
        <v>10</v>
      </c>
      <c r="G117" s="2" t="s">
        <v>23</v>
      </c>
    </row>
    <row r="118" spans="1:10" x14ac:dyDescent="0.2">
      <c r="A118" s="11">
        <v>104</v>
      </c>
      <c r="B118" s="5" t="s">
        <v>321</v>
      </c>
      <c r="C118" s="11">
        <v>66346732180</v>
      </c>
      <c r="D118" s="5" t="s">
        <v>322</v>
      </c>
      <c r="E118" s="8">
        <f>287.5+306.25</f>
        <v>593.75</v>
      </c>
      <c r="F118" s="5" t="s">
        <v>10</v>
      </c>
      <c r="G118" s="2" t="s">
        <v>243</v>
      </c>
    </row>
    <row r="119" spans="1:10" x14ac:dyDescent="0.2">
      <c r="A119" s="11">
        <v>105</v>
      </c>
      <c r="B119" s="5" t="s">
        <v>323</v>
      </c>
      <c r="C119" s="11">
        <v>15907062900</v>
      </c>
      <c r="D119" s="5" t="s">
        <v>325</v>
      </c>
      <c r="E119" s="8">
        <v>2692.33</v>
      </c>
      <c r="F119" s="5" t="s">
        <v>10</v>
      </c>
      <c r="G119" s="2" t="s">
        <v>324</v>
      </c>
    </row>
    <row r="120" spans="1:10" x14ac:dyDescent="0.2">
      <c r="A120" s="11">
        <v>106</v>
      </c>
      <c r="B120" s="5" t="s">
        <v>1011</v>
      </c>
      <c r="C120" s="11">
        <v>57270798205</v>
      </c>
      <c r="D120" s="5" t="s">
        <v>1012</v>
      </c>
      <c r="E120" s="8">
        <f>498.56+497.75+497.75</f>
        <v>1494.06</v>
      </c>
      <c r="F120" s="5" t="s">
        <v>10</v>
      </c>
      <c r="G120" s="2" t="s">
        <v>12</v>
      </c>
    </row>
    <row r="121" spans="1:10" x14ac:dyDescent="0.2">
      <c r="A121" s="11">
        <v>107</v>
      </c>
      <c r="B121" s="5" t="s">
        <v>88</v>
      </c>
      <c r="C121" s="11">
        <v>42889250808</v>
      </c>
      <c r="D121" s="5" t="s">
        <v>90</v>
      </c>
      <c r="E121" s="8">
        <v>73.81</v>
      </c>
      <c r="F121" s="5" t="s">
        <v>10</v>
      </c>
      <c r="G121" s="2" t="s">
        <v>86</v>
      </c>
    </row>
    <row r="122" spans="1:10" x14ac:dyDescent="0.2">
      <c r="A122" s="11">
        <v>108</v>
      </c>
      <c r="B122" s="5" t="s">
        <v>641</v>
      </c>
      <c r="C122" s="11">
        <v>60690477713</v>
      </c>
      <c r="D122" s="5" t="s">
        <v>520</v>
      </c>
      <c r="E122" s="8">
        <v>3708.62</v>
      </c>
      <c r="F122" s="5" t="s">
        <v>10</v>
      </c>
      <c r="G122" s="2" t="s">
        <v>23</v>
      </c>
    </row>
    <row r="123" spans="1:10" x14ac:dyDescent="0.2">
      <c r="A123" s="11">
        <v>109</v>
      </c>
      <c r="B123" s="5" t="s">
        <v>341</v>
      </c>
      <c r="C123" s="11">
        <v>78969071801</v>
      </c>
      <c r="D123" s="5" t="s">
        <v>342</v>
      </c>
      <c r="E123" s="8">
        <f>567.75+2428.73+191.5+473.13+1268.75+609</f>
        <v>5538.8600000000006</v>
      </c>
      <c r="F123" s="5" t="s">
        <v>10</v>
      </c>
      <c r="G123" s="2" t="s">
        <v>23</v>
      </c>
      <c r="J123" s="13"/>
    </row>
    <row r="124" spans="1:10" x14ac:dyDescent="0.2">
      <c r="A124" s="11">
        <v>110</v>
      </c>
      <c r="B124" s="5" t="s">
        <v>432</v>
      </c>
      <c r="C124" s="11">
        <v>48633701387</v>
      </c>
      <c r="D124" s="5" t="s">
        <v>433</v>
      </c>
      <c r="E124" s="8">
        <v>18.510000000000002</v>
      </c>
      <c r="F124" s="5" t="s">
        <v>10</v>
      </c>
      <c r="G124" s="2" t="s">
        <v>23</v>
      </c>
    </row>
    <row r="125" spans="1:10" x14ac:dyDescent="0.2">
      <c r="A125" s="11">
        <v>111</v>
      </c>
      <c r="B125" s="5" t="s">
        <v>374</v>
      </c>
      <c r="C125" s="11">
        <v>48249084626</v>
      </c>
      <c r="D125" s="5" t="s">
        <v>375</v>
      </c>
      <c r="E125" s="8">
        <f>323.93+2158.01+1.63+197.05+5.29+66.83+71.38</f>
        <v>2824.1200000000003</v>
      </c>
      <c r="F125" s="5" t="s">
        <v>10</v>
      </c>
      <c r="G125" s="2" t="s">
        <v>23</v>
      </c>
    </row>
    <row r="126" spans="1:10" x14ac:dyDescent="0.2">
      <c r="A126" s="11">
        <v>112</v>
      </c>
      <c r="B126" s="5" t="s">
        <v>372</v>
      </c>
      <c r="C126" s="11">
        <v>64021574271</v>
      </c>
      <c r="D126" s="5" t="s">
        <v>373</v>
      </c>
      <c r="E126" s="8">
        <f>380.38+956.76</f>
        <v>1337.1399999999999</v>
      </c>
      <c r="F126" s="5" t="s">
        <v>10</v>
      </c>
      <c r="G126" s="2" t="s">
        <v>23</v>
      </c>
    </row>
    <row r="127" spans="1:10" x14ac:dyDescent="0.2">
      <c r="A127" s="11">
        <v>113</v>
      </c>
      <c r="B127" s="5" t="s">
        <v>386</v>
      </c>
      <c r="C127" s="11">
        <v>60365429880</v>
      </c>
      <c r="D127" s="5" t="s">
        <v>387</v>
      </c>
      <c r="E127" s="8">
        <f>13.11+42.83+90.4</f>
        <v>146.34</v>
      </c>
      <c r="F127" s="5" t="s">
        <v>10</v>
      </c>
      <c r="G127" s="2" t="s">
        <v>23</v>
      </c>
    </row>
    <row r="128" spans="1:10" x14ac:dyDescent="0.2">
      <c r="A128" s="11">
        <v>114</v>
      </c>
      <c r="B128" s="5" t="s">
        <v>391</v>
      </c>
      <c r="C128" s="11">
        <v>37879152548</v>
      </c>
      <c r="D128" s="5" t="s">
        <v>392</v>
      </c>
      <c r="E128" s="8">
        <f>1384.89+833.25</f>
        <v>2218.1400000000003</v>
      </c>
      <c r="F128" s="5" t="s">
        <v>10</v>
      </c>
      <c r="G128" s="2" t="s">
        <v>23</v>
      </c>
    </row>
    <row r="129" spans="1:7" x14ac:dyDescent="0.2">
      <c r="A129" s="11">
        <v>115</v>
      </c>
      <c r="B129" s="5" t="s">
        <v>459</v>
      </c>
      <c r="C129" s="11">
        <v>64008199572</v>
      </c>
      <c r="D129" s="5" t="s">
        <v>460</v>
      </c>
      <c r="E129" s="8">
        <v>22.44</v>
      </c>
      <c r="F129" s="5" t="s">
        <v>10</v>
      </c>
      <c r="G129" s="2" t="s">
        <v>23</v>
      </c>
    </row>
    <row r="130" spans="1:7" x14ac:dyDescent="0.2">
      <c r="A130" s="11">
        <v>116</v>
      </c>
      <c r="B130" s="5" t="s">
        <v>395</v>
      </c>
      <c r="C130" s="11">
        <v>39048902955</v>
      </c>
      <c r="D130" s="5" t="s">
        <v>396</v>
      </c>
      <c r="E130" s="8">
        <v>746.59</v>
      </c>
      <c r="F130" s="5" t="s">
        <v>10</v>
      </c>
      <c r="G130" s="2" t="s">
        <v>64</v>
      </c>
    </row>
    <row r="131" spans="1:7" x14ac:dyDescent="0.2">
      <c r="A131" s="11">
        <v>117</v>
      </c>
      <c r="B131" s="5" t="s">
        <v>397</v>
      </c>
      <c r="C131" s="11">
        <v>85375838060</v>
      </c>
      <c r="D131" s="5" t="s">
        <v>398</v>
      </c>
      <c r="E131" s="8">
        <f>71.38+314.05</f>
        <v>385.43</v>
      </c>
      <c r="F131" s="5" t="s">
        <v>10</v>
      </c>
      <c r="G131" s="2" t="s">
        <v>64</v>
      </c>
    </row>
    <row r="132" spans="1:7" x14ac:dyDescent="0.2">
      <c r="A132" s="11">
        <v>118</v>
      </c>
      <c r="B132" s="5" t="s">
        <v>401</v>
      </c>
      <c r="C132" s="11">
        <v>55614719992</v>
      </c>
      <c r="D132" s="5" t="s">
        <v>402</v>
      </c>
      <c r="E132" s="8">
        <v>35.75</v>
      </c>
      <c r="F132" s="5" t="s">
        <v>10</v>
      </c>
      <c r="G132" s="2" t="s">
        <v>23</v>
      </c>
    </row>
    <row r="133" spans="1:7" x14ac:dyDescent="0.2">
      <c r="A133" s="11">
        <v>119</v>
      </c>
      <c r="B133" s="5" t="s">
        <v>1192</v>
      </c>
      <c r="C133" s="11">
        <v>14273924910</v>
      </c>
      <c r="D133" s="5" t="s">
        <v>228</v>
      </c>
      <c r="E133" s="8">
        <v>937.5</v>
      </c>
      <c r="F133" s="5" t="s">
        <v>10</v>
      </c>
      <c r="G133" s="2" t="s">
        <v>176</v>
      </c>
    </row>
    <row r="134" spans="1:7" x14ac:dyDescent="0.2">
      <c r="A134" s="11">
        <v>120</v>
      </c>
      <c r="B134" s="5" t="s">
        <v>439</v>
      </c>
      <c r="C134" s="11">
        <v>48841983787</v>
      </c>
      <c r="D134" s="5" t="s">
        <v>440</v>
      </c>
      <c r="E134" s="8">
        <f>715.38+737.5+397.5+66.25</f>
        <v>1916.63</v>
      </c>
      <c r="F134" s="5" t="s">
        <v>10</v>
      </c>
      <c r="G134" s="2" t="s">
        <v>23</v>
      </c>
    </row>
    <row r="135" spans="1:7" x14ac:dyDescent="0.2">
      <c r="A135" s="11">
        <v>121</v>
      </c>
      <c r="B135" s="5" t="s">
        <v>896</v>
      </c>
      <c r="C135" s="11">
        <v>28440665923</v>
      </c>
      <c r="D135" s="5" t="s">
        <v>897</v>
      </c>
      <c r="E135" s="8">
        <v>60</v>
      </c>
      <c r="F135" s="5" t="s">
        <v>10</v>
      </c>
      <c r="G135" s="2" t="s">
        <v>330</v>
      </c>
    </row>
    <row r="136" spans="1:7" x14ac:dyDescent="0.2">
      <c r="A136" s="11">
        <v>122</v>
      </c>
      <c r="B136" s="5" t="s">
        <v>137</v>
      </c>
      <c r="C136" s="12" t="s">
        <v>200</v>
      </c>
      <c r="D136" s="5" t="s">
        <v>201</v>
      </c>
      <c r="E136" s="8">
        <v>108.05</v>
      </c>
      <c r="F136" s="5" t="s">
        <v>10</v>
      </c>
      <c r="G136" s="2" t="s">
        <v>112</v>
      </c>
    </row>
    <row r="137" spans="1:7" x14ac:dyDescent="0.2">
      <c r="A137" s="11">
        <v>123</v>
      </c>
      <c r="B137" s="5" t="s">
        <v>927</v>
      </c>
      <c r="C137" s="11">
        <v>90591998649</v>
      </c>
      <c r="D137" s="5" t="s">
        <v>928</v>
      </c>
      <c r="E137" s="8">
        <v>38.31</v>
      </c>
      <c r="F137" s="5" t="s">
        <v>10</v>
      </c>
      <c r="G137" s="2" t="s">
        <v>23</v>
      </c>
    </row>
    <row r="138" spans="1:7" x14ac:dyDescent="0.2">
      <c r="A138" s="11">
        <v>124</v>
      </c>
      <c r="B138" s="5" t="s">
        <v>976</v>
      </c>
      <c r="C138" s="11">
        <v>26211106548</v>
      </c>
      <c r="D138" s="5" t="s">
        <v>141</v>
      </c>
      <c r="E138" s="8">
        <v>140.02000000000001</v>
      </c>
      <c r="F138" s="5" t="s">
        <v>10</v>
      </c>
      <c r="G138" s="2" t="s">
        <v>112</v>
      </c>
    </row>
    <row r="139" spans="1:7" x14ac:dyDescent="0.2">
      <c r="A139" s="11">
        <v>125</v>
      </c>
      <c r="B139" s="5" t="s">
        <v>1499</v>
      </c>
      <c r="C139" s="11">
        <v>85382541239</v>
      </c>
      <c r="D139" s="5" t="s">
        <v>1500</v>
      </c>
      <c r="E139" s="8">
        <v>1008</v>
      </c>
      <c r="F139" s="5" t="s">
        <v>10</v>
      </c>
      <c r="G139" s="2" t="s">
        <v>1328</v>
      </c>
    </row>
    <row r="140" spans="1:7" x14ac:dyDescent="0.2">
      <c r="A140" s="11">
        <v>126</v>
      </c>
      <c r="B140" s="5" t="s">
        <v>382</v>
      </c>
      <c r="C140" s="11">
        <v>76080865307</v>
      </c>
      <c r="D140" s="5" t="s">
        <v>383</v>
      </c>
      <c r="E140" s="8">
        <f>41.36+41.36</f>
        <v>82.72</v>
      </c>
      <c r="F140" s="5" t="s">
        <v>10</v>
      </c>
      <c r="G140" s="2" t="s">
        <v>287</v>
      </c>
    </row>
    <row r="141" spans="1:7" x14ac:dyDescent="0.2">
      <c r="A141" s="11">
        <v>127</v>
      </c>
      <c r="B141" s="5" t="s">
        <v>332</v>
      </c>
      <c r="C141" s="12" t="s">
        <v>334</v>
      </c>
      <c r="D141" s="5" t="s">
        <v>333</v>
      </c>
      <c r="E141" s="8">
        <f>180+273.15</f>
        <v>453.15</v>
      </c>
      <c r="F141" s="5" t="s">
        <v>10</v>
      </c>
      <c r="G141" s="2" t="s">
        <v>330</v>
      </c>
    </row>
    <row r="142" spans="1:7" x14ac:dyDescent="0.2">
      <c r="A142" s="11">
        <v>128</v>
      </c>
      <c r="B142" s="5" t="s">
        <v>555</v>
      </c>
      <c r="C142" s="11">
        <v>56733014701</v>
      </c>
      <c r="D142" s="5" t="s">
        <v>556</v>
      </c>
      <c r="E142" s="8">
        <v>2850</v>
      </c>
      <c r="F142" s="5" t="s">
        <v>10</v>
      </c>
      <c r="G142" s="2" t="s">
        <v>23</v>
      </c>
    </row>
    <row r="143" spans="1:7" x14ac:dyDescent="0.2">
      <c r="A143" s="11">
        <v>129</v>
      </c>
      <c r="B143" s="5" t="s">
        <v>136</v>
      </c>
      <c r="C143" s="11">
        <v>70467048139</v>
      </c>
      <c r="D143" s="5" t="s">
        <v>199</v>
      </c>
      <c r="E143" s="8">
        <v>28.98</v>
      </c>
      <c r="F143" s="5" t="s">
        <v>10</v>
      </c>
      <c r="G143" s="2" t="s">
        <v>112</v>
      </c>
    </row>
    <row r="144" spans="1:7" x14ac:dyDescent="0.2">
      <c r="A144" s="11">
        <v>130</v>
      </c>
      <c r="B144" s="5" t="s">
        <v>195</v>
      </c>
      <c r="C144" s="11">
        <v>85621555748</v>
      </c>
      <c r="D144" s="5" t="s">
        <v>241</v>
      </c>
      <c r="E144" s="8">
        <v>264.60000000000002</v>
      </c>
      <c r="F144" s="5" t="s">
        <v>10</v>
      </c>
      <c r="G144" s="2" t="s">
        <v>173</v>
      </c>
    </row>
    <row r="145" spans="1:7" x14ac:dyDescent="0.2">
      <c r="A145" s="11">
        <v>131</v>
      </c>
      <c r="B145" s="5" t="s">
        <v>1025</v>
      </c>
      <c r="C145" s="11" t="s">
        <v>1026</v>
      </c>
      <c r="D145" s="5" t="s">
        <v>1027</v>
      </c>
      <c r="E145" s="8">
        <v>2095.88</v>
      </c>
      <c r="F145" s="5" t="s">
        <v>10</v>
      </c>
      <c r="G145" s="2" t="s">
        <v>23</v>
      </c>
    </row>
    <row r="146" spans="1:7" ht="12.75" thickBot="1" x14ac:dyDescent="0.25">
      <c r="A146" s="11">
        <v>132</v>
      </c>
      <c r="B146" s="5" t="s">
        <v>1316</v>
      </c>
      <c r="C146" s="11">
        <v>86648038250</v>
      </c>
      <c r="D146" s="5" t="s">
        <v>961</v>
      </c>
      <c r="E146" s="8">
        <v>81.25</v>
      </c>
      <c r="F146" s="5" t="s">
        <v>10</v>
      </c>
      <c r="G146" s="2" t="s">
        <v>118</v>
      </c>
    </row>
    <row r="147" spans="1:7" x14ac:dyDescent="0.2">
      <c r="A147" s="84">
        <v>133</v>
      </c>
      <c r="B147" s="82" t="s">
        <v>60</v>
      </c>
      <c r="C147" s="84">
        <v>39901919995</v>
      </c>
      <c r="D147" s="82" t="s">
        <v>72</v>
      </c>
      <c r="E147" s="16">
        <f>14925.56+30937.5</f>
        <v>45863.06</v>
      </c>
      <c r="F147" s="82" t="s">
        <v>10</v>
      </c>
      <c r="G147" s="31" t="s">
        <v>63</v>
      </c>
    </row>
    <row r="148" spans="1:7" x14ac:dyDescent="0.2">
      <c r="A148" s="70"/>
      <c r="B148" s="69"/>
      <c r="C148" s="70"/>
      <c r="D148" s="69"/>
      <c r="E148" s="8">
        <f>2836.92+58.65+8.5+323.45</f>
        <v>3227.52</v>
      </c>
      <c r="F148" s="69"/>
      <c r="G148" s="41" t="s">
        <v>64</v>
      </c>
    </row>
    <row r="149" spans="1:7" ht="12.75" thickBot="1" x14ac:dyDescent="0.25">
      <c r="A149" s="85"/>
      <c r="B149" s="83"/>
      <c r="C149" s="85"/>
      <c r="D149" s="83"/>
      <c r="E149" s="18">
        <v>11339.94</v>
      </c>
      <c r="F149" s="83"/>
      <c r="G149" s="32" t="s">
        <v>61</v>
      </c>
    </row>
    <row r="150" spans="1:7" x14ac:dyDescent="0.2">
      <c r="A150" s="11">
        <v>134</v>
      </c>
      <c r="B150" s="5" t="s">
        <v>412</v>
      </c>
      <c r="C150" s="11">
        <v>85611744662</v>
      </c>
      <c r="D150" s="5" t="s">
        <v>413</v>
      </c>
      <c r="E150" s="8">
        <f>159.63</f>
        <v>159.63</v>
      </c>
      <c r="F150" s="5" t="s">
        <v>10</v>
      </c>
      <c r="G150" s="2" t="s">
        <v>23</v>
      </c>
    </row>
    <row r="151" spans="1:7" x14ac:dyDescent="0.2">
      <c r="A151" s="11">
        <v>135</v>
      </c>
      <c r="B151" s="5" t="s">
        <v>794</v>
      </c>
      <c r="C151" s="11">
        <v>69927324836</v>
      </c>
      <c r="D151" s="5" t="s">
        <v>795</v>
      </c>
      <c r="E151" s="8">
        <f>2870.7+3000</f>
        <v>5870.7</v>
      </c>
      <c r="F151" s="5" t="s">
        <v>10</v>
      </c>
      <c r="G151" s="2" t="s">
        <v>23</v>
      </c>
    </row>
    <row r="152" spans="1:7" x14ac:dyDescent="0.2">
      <c r="A152" s="11">
        <v>136</v>
      </c>
      <c r="B152" s="5" t="s">
        <v>753</v>
      </c>
      <c r="C152" s="11">
        <v>93475459627</v>
      </c>
      <c r="D152" s="5" t="s">
        <v>754</v>
      </c>
      <c r="E152" s="8">
        <f>10.88+40.63</f>
        <v>51.510000000000005</v>
      </c>
      <c r="F152" s="5" t="s">
        <v>10</v>
      </c>
      <c r="G152" s="2" t="s">
        <v>23</v>
      </c>
    </row>
    <row r="153" spans="1:7" x14ac:dyDescent="0.2">
      <c r="A153" s="11">
        <v>137</v>
      </c>
      <c r="B153" s="5" t="s">
        <v>162</v>
      </c>
      <c r="C153" s="11">
        <v>58353015102</v>
      </c>
      <c r="D153" s="5" t="s">
        <v>219</v>
      </c>
      <c r="E153" s="8">
        <f>12.73+1041.63</f>
        <v>1054.3600000000001</v>
      </c>
      <c r="F153" s="5" t="s">
        <v>10</v>
      </c>
      <c r="G153" s="2" t="s">
        <v>130</v>
      </c>
    </row>
    <row r="154" spans="1:7" x14ac:dyDescent="0.2">
      <c r="A154" s="11">
        <v>138</v>
      </c>
      <c r="B154" s="5" t="s">
        <v>573</v>
      </c>
      <c r="C154" s="11">
        <v>56862872842</v>
      </c>
      <c r="D154" s="5" t="s">
        <v>594</v>
      </c>
      <c r="E154" s="8">
        <f>47.5+125</f>
        <v>172.5</v>
      </c>
      <c r="F154" s="5" t="s">
        <v>10</v>
      </c>
      <c r="G154" s="2" t="s">
        <v>23</v>
      </c>
    </row>
    <row r="155" spans="1:7" x14ac:dyDescent="0.2">
      <c r="A155" s="11">
        <v>139</v>
      </c>
      <c r="B155" s="5" t="s">
        <v>494</v>
      </c>
      <c r="C155" s="11">
        <v>54482179263</v>
      </c>
      <c r="D155" s="5" t="s">
        <v>495</v>
      </c>
      <c r="E155" s="8">
        <v>160.69999999999999</v>
      </c>
      <c r="F155" s="5" t="s">
        <v>10</v>
      </c>
      <c r="G155" s="2" t="s">
        <v>23</v>
      </c>
    </row>
    <row r="156" spans="1:7" x14ac:dyDescent="0.2">
      <c r="A156" s="11">
        <v>140</v>
      </c>
      <c r="B156" s="5" t="s">
        <v>125</v>
      </c>
      <c r="C156" s="11">
        <v>15429488788</v>
      </c>
      <c r="D156" s="5" t="s">
        <v>126</v>
      </c>
      <c r="E156" s="8">
        <v>961</v>
      </c>
      <c r="F156" s="5" t="s">
        <v>10</v>
      </c>
      <c r="G156" s="2" t="s">
        <v>124</v>
      </c>
    </row>
    <row r="157" spans="1:7" x14ac:dyDescent="0.2">
      <c r="A157" s="11">
        <v>141</v>
      </c>
      <c r="B157" s="5" t="s">
        <v>974</v>
      </c>
      <c r="C157" s="11">
        <v>89984971143</v>
      </c>
      <c r="D157" s="5" t="s">
        <v>975</v>
      </c>
      <c r="E157" s="8">
        <v>191.49</v>
      </c>
      <c r="F157" s="5" t="s">
        <v>10</v>
      </c>
      <c r="G157" s="2" t="s">
        <v>23</v>
      </c>
    </row>
    <row r="158" spans="1:7" x14ac:dyDescent="0.2">
      <c r="A158" s="11">
        <v>142</v>
      </c>
      <c r="B158" s="5" t="s">
        <v>541</v>
      </c>
      <c r="C158" s="11">
        <v>32371574171</v>
      </c>
      <c r="D158" s="5" t="s">
        <v>542</v>
      </c>
      <c r="E158" s="8">
        <v>625</v>
      </c>
      <c r="F158" s="5" t="s">
        <v>10</v>
      </c>
      <c r="G158" s="2" t="s">
        <v>243</v>
      </c>
    </row>
    <row r="159" spans="1:7" x14ac:dyDescent="0.2">
      <c r="A159" s="11">
        <v>143</v>
      </c>
      <c r="B159" s="5" t="s">
        <v>1461</v>
      </c>
      <c r="C159" s="12">
        <v>53001917600</v>
      </c>
      <c r="D159" s="5" t="s">
        <v>1462</v>
      </c>
      <c r="E159" s="8">
        <f>2*108+162</f>
        <v>378</v>
      </c>
      <c r="F159" s="5" t="s">
        <v>10</v>
      </c>
      <c r="G159" s="2" t="s">
        <v>481</v>
      </c>
    </row>
    <row r="160" spans="1:7" x14ac:dyDescent="0.2">
      <c r="A160" s="11">
        <v>144</v>
      </c>
      <c r="B160" s="5" t="s">
        <v>87</v>
      </c>
      <c r="C160" s="12" t="s">
        <v>92</v>
      </c>
      <c r="D160" s="5" t="s">
        <v>91</v>
      </c>
      <c r="E160" s="8">
        <v>647.08000000000004</v>
      </c>
      <c r="F160" s="5" t="s">
        <v>10</v>
      </c>
      <c r="G160" s="2" t="s">
        <v>86</v>
      </c>
    </row>
    <row r="161" spans="1:7" x14ac:dyDescent="0.2">
      <c r="A161" s="11">
        <v>145</v>
      </c>
      <c r="B161" s="19" t="s">
        <v>1148</v>
      </c>
      <c r="C161" s="36">
        <v>48293321289</v>
      </c>
      <c r="D161" s="19" t="s">
        <v>1149</v>
      </c>
      <c r="E161" s="8">
        <f>5000+4200</f>
        <v>9200</v>
      </c>
      <c r="F161" s="5" t="s">
        <v>10</v>
      </c>
      <c r="G161" s="2" t="s">
        <v>23</v>
      </c>
    </row>
    <row r="162" spans="1:7" x14ac:dyDescent="0.2">
      <c r="A162" s="11">
        <v>146</v>
      </c>
      <c r="B162" s="5" t="s">
        <v>1466</v>
      </c>
      <c r="C162" s="11">
        <v>38842004780</v>
      </c>
      <c r="D162" s="5" t="s">
        <v>1467</v>
      </c>
      <c r="E162" s="8">
        <v>4427.88</v>
      </c>
      <c r="F162" s="5" t="s">
        <v>10</v>
      </c>
      <c r="G162" s="2" t="s">
        <v>23</v>
      </c>
    </row>
    <row r="163" spans="1:7" x14ac:dyDescent="0.2">
      <c r="A163" s="11">
        <v>147</v>
      </c>
      <c r="B163" s="5" t="s">
        <v>25</v>
      </c>
      <c r="C163" s="11">
        <v>73660371074</v>
      </c>
      <c r="D163" s="5" t="s">
        <v>38</v>
      </c>
      <c r="E163" s="8">
        <f>83.5</f>
        <v>83.5</v>
      </c>
      <c r="F163" s="5" t="s">
        <v>10</v>
      </c>
      <c r="G163" s="2" t="s">
        <v>23</v>
      </c>
    </row>
    <row r="164" spans="1:7" x14ac:dyDescent="0.2">
      <c r="A164" s="11">
        <v>148</v>
      </c>
      <c r="B164" s="5" t="s">
        <v>441</v>
      </c>
      <c r="C164" s="11">
        <v>12443607100</v>
      </c>
      <c r="D164" s="5" t="s">
        <v>442</v>
      </c>
      <c r="E164" s="8">
        <f>1560+4967.5</f>
        <v>6527.5</v>
      </c>
      <c r="F164" s="5" t="s">
        <v>10</v>
      </c>
      <c r="G164" s="2" t="s">
        <v>23</v>
      </c>
    </row>
    <row r="165" spans="1:7" x14ac:dyDescent="0.2">
      <c r="A165" s="11">
        <v>149</v>
      </c>
      <c r="B165" s="5" t="s">
        <v>501</v>
      </c>
      <c r="C165" s="11">
        <v>79506290597</v>
      </c>
      <c r="D165" s="5" t="s">
        <v>503</v>
      </c>
      <c r="E165" s="8">
        <v>80.14</v>
      </c>
      <c r="F165" s="5" t="s">
        <v>10</v>
      </c>
      <c r="G165" s="2" t="s">
        <v>502</v>
      </c>
    </row>
    <row r="166" spans="1:7" x14ac:dyDescent="0.2">
      <c r="A166" s="11">
        <v>150</v>
      </c>
      <c r="B166" s="5" t="s">
        <v>1339</v>
      </c>
      <c r="C166" s="11">
        <v>74867487620</v>
      </c>
      <c r="D166" s="5" t="s">
        <v>314</v>
      </c>
      <c r="E166" s="8">
        <f>1377.63+220+1116+695+308.45+1233.75</f>
        <v>4950.83</v>
      </c>
      <c r="F166" s="5" t="s">
        <v>10</v>
      </c>
      <c r="G166" s="2" t="s">
        <v>23</v>
      </c>
    </row>
    <row r="167" spans="1:7" x14ac:dyDescent="0.2">
      <c r="A167" s="11">
        <v>151</v>
      </c>
      <c r="B167" s="5" t="s">
        <v>160</v>
      </c>
      <c r="C167" s="11" t="s">
        <v>218</v>
      </c>
      <c r="D167" s="5" t="s">
        <v>161</v>
      </c>
      <c r="E167" s="8">
        <v>9600</v>
      </c>
      <c r="F167" s="5" t="s">
        <v>10</v>
      </c>
      <c r="G167" s="2" t="s">
        <v>23</v>
      </c>
    </row>
    <row r="168" spans="1:7" x14ac:dyDescent="0.2">
      <c r="A168" s="11">
        <v>152</v>
      </c>
      <c r="B168" s="5" t="s">
        <v>17</v>
      </c>
      <c r="C168" s="11" t="s">
        <v>17</v>
      </c>
      <c r="D168" s="5" t="s">
        <v>17</v>
      </c>
      <c r="E168" s="8">
        <v>3948.64</v>
      </c>
      <c r="F168" s="5" t="s">
        <v>10</v>
      </c>
      <c r="G168" s="2" t="s">
        <v>1501</v>
      </c>
    </row>
    <row r="169" spans="1:7" x14ac:dyDescent="0.2">
      <c r="A169" s="11">
        <v>153</v>
      </c>
      <c r="B169" s="5" t="s">
        <v>17</v>
      </c>
      <c r="C169" s="11" t="s">
        <v>17</v>
      </c>
      <c r="D169" s="5" t="s">
        <v>17</v>
      </c>
      <c r="E169" s="8">
        <f>3*560</f>
        <v>1680</v>
      </c>
      <c r="F169" s="5" t="s">
        <v>10</v>
      </c>
      <c r="G169" s="2" t="s">
        <v>123</v>
      </c>
    </row>
    <row r="170" spans="1:7" x14ac:dyDescent="0.2">
      <c r="A170" s="11">
        <v>154</v>
      </c>
      <c r="B170" s="5" t="s">
        <v>706</v>
      </c>
      <c r="C170" s="11" t="s">
        <v>708</v>
      </c>
      <c r="D170" s="5" t="s">
        <v>707</v>
      </c>
      <c r="E170" s="8">
        <f>193.01+181.96+66.93</f>
        <v>441.90000000000003</v>
      </c>
      <c r="F170" s="5" t="s">
        <v>10</v>
      </c>
      <c r="G170" s="2" t="s">
        <v>23</v>
      </c>
    </row>
    <row r="171" spans="1:7" x14ac:dyDescent="0.2">
      <c r="A171" s="11">
        <v>155</v>
      </c>
      <c r="B171" s="5" t="s">
        <v>992</v>
      </c>
      <c r="C171" s="12">
        <v>38264973565</v>
      </c>
      <c r="D171" s="5" t="s">
        <v>993</v>
      </c>
      <c r="E171" s="8">
        <v>410.78</v>
      </c>
      <c r="F171" s="5" t="s">
        <v>10</v>
      </c>
      <c r="G171" s="2" t="s">
        <v>23</v>
      </c>
    </row>
    <row r="172" spans="1:7" x14ac:dyDescent="0.2">
      <c r="A172" s="11">
        <v>156</v>
      </c>
      <c r="B172" s="5" t="s">
        <v>1502</v>
      </c>
      <c r="C172" s="11" t="s">
        <v>1503</v>
      </c>
      <c r="D172" s="5" t="s">
        <v>1504</v>
      </c>
      <c r="E172" s="8">
        <v>96.76</v>
      </c>
      <c r="F172" s="5" t="s">
        <v>10</v>
      </c>
      <c r="G172" s="2" t="s">
        <v>23</v>
      </c>
    </row>
    <row r="173" spans="1:7" x14ac:dyDescent="0.2">
      <c r="A173" s="11">
        <v>157</v>
      </c>
      <c r="B173" s="5" t="s">
        <v>305</v>
      </c>
      <c r="C173" s="11" t="s">
        <v>307</v>
      </c>
      <c r="D173" s="5" t="s">
        <v>306</v>
      </c>
      <c r="E173" s="8">
        <v>700</v>
      </c>
      <c r="F173" s="5" t="s">
        <v>10</v>
      </c>
      <c r="G173" s="2" t="s">
        <v>23</v>
      </c>
    </row>
    <row r="174" spans="1:7" x14ac:dyDescent="0.2">
      <c r="A174" s="11">
        <v>158</v>
      </c>
      <c r="B174" s="5" t="s">
        <v>1505</v>
      </c>
      <c r="C174" s="11">
        <v>31206452221</v>
      </c>
      <c r="D174" s="5" t="s">
        <v>1506</v>
      </c>
      <c r="E174" s="8">
        <v>306.45999999999998</v>
      </c>
      <c r="F174" s="5" t="s">
        <v>10</v>
      </c>
      <c r="G174" s="2" t="s">
        <v>23</v>
      </c>
    </row>
    <row r="175" spans="1:7" x14ac:dyDescent="0.2">
      <c r="A175" s="11">
        <v>159</v>
      </c>
      <c r="B175" s="5" t="s">
        <v>444</v>
      </c>
      <c r="C175" s="11">
        <v>91330201308</v>
      </c>
      <c r="D175" s="5" t="s">
        <v>445</v>
      </c>
      <c r="E175" s="8">
        <f>303.66+339.32</f>
        <v>642.98</v>
      </c>
      <c r="F175" s="5" t="s">
        <v>10</v>
      </c>
      <c r="G175" s="2" t="s">
        <v>23</v>
      </c>
    </row>
    <row r="176" spans="1:7" x14ac:dyDescent="0.2">
      <c r="A176" s="11">
        <v>160</v>
      </c>
      <c r="B176" s="5" t="s">
        <v>507</v>
      </c>
      <c r="C176" s="11">
        <v>94505281348</v>
      </c>
      <c r="D176" s="5" t="s">
        <v>509</v>
      </c>
      <c r="E176" s="8">
        <v>157.5</v>
      </c>
      <c r="F176" s="5" t="s">
        <v>10</v>
      </c>
      <c r="G176" s="2" t="s">
        <v>287</v>
      </c>
    </row>
    <row r="177" spans="1:7" x14ac:dyDescent="0.2">
      <c r="A177" s="11">
        <v>161</v>
      </c>
      <c r="B177" s="5" t="s">
        <v>465</v>
      </c>
      <c r="C177" s="12" t="s">
        <v>467</v>
      </c>
      <c r="D177" s="5" t="s">
        <v>466</v>
      </c>
      <c r="E177" s="8">
        <v>1654</v>
      </c>
      <c r="F177" s="5" t="s">
        <v>10</v>
      </c>
      <c r="G177" s="2" t="s">
        <v>23</v>
      </c>
    </row>
    <row r="178" spans="1:7" x14ac:dyDescent="0.2">
      <c r="A178" s="11">
        <v>162</v>
      </c>
      <c r="B178" s="5" t="s">
        <v>1187</v>
      </c>
      <c r="C178" s="11">
        <v>43906207302</v>
      </c>
      <c r="D178" s="5" t="s">
        <v>1188</v>
      </c>
      <c r="E178" s="8">
        <v>133</v>
      </c>
      <c r="F178" s="5" t="s">
        <v>10</v>
      </c>
      <c r="G178" s="2" t="s">
        <v>173</v>
      </c>
    </row>
    <row r="179" spans="1:7" x14ac:dyDescent="0.2">
      <c r="A179" s="11">
        <v>163</v>
      </c>
      <c r="B179" s="5" t="s">
        <v>1507</v>
      </c>
      <c r="C179" s="11">
        <v>78131970792</v>
      </c>
      <c r="D179" s="5" t="s">
        <v>1508</v>
      </c>
      <c r="E179" s="8">
        <v>275</v>
      </c>
      <c r="F179" s="5" t="s">
        <v>10</v>
      </c>
      <c r="G179" s="2" t="s">
        <v>243</v>
      </c>
    </row>
    <row r="180" spans="1:7" x14ac:dyDescent="0.2">
      <c r="A180" s="11">
        <v>164</v>
      </c>
      <c r="B180" s="5" t="s">
        <v>1509</v>
      </c>
      <c r="C180" s="11">
        <v>55958976372</v>
      </c>
      <c r="D180" s="5" t="s">
        <v>1510</v>
      </c>
      <c r="E180" s="8">
        <v>8256.1299999999992</v>
      </c>
      <c r="F180" s="5" t="s">
        <v>10</v>
      </c>
      <c r="G180" s="2" t="s">
        <v>23</v>
      </c>
    </row>
    <row r="181" spans="1:7" x14ac:dyDescent="0.2">
      <c r="A181" s="11">
        <v>165</v>
      </c>
      <c r="B181" s="5" t="s">
        <v>347</v>
      </c>
      <c r="C181" s="11">
        <v>51892779522</v>
      </c>
      <c r="D181" s="5" t="s">
        <v>348</v>
      </c>
      <c r="E181" s="8">
        <f>3125+3375</f>
        <v>6500</v>
      </c>
      <c r="F181" s="5" t="s">
        <v>10</v>
      </c>
      <c r="G181" s="2" t="s">
        <v>23</v>
      </c>
    </row>
    <row r="182" spans="1:7" x14ac:dyDescent="0.2">
      <c r="A182" s="11">
        <v>166</v>
      </c>
      <c r="B182" s="19" t="s">
        <v>819</v>
      </c>
      <c r="C182" s="36">
        <v>30568370357</v>
      </c>
      <c r="D182" s="19" t="s">
        <v>820</v>
      </c>
      <c r="E182" s="15">
        <v>666.25</v>
      </c>
      <c r="F182" s="19" t="s">
        <v>10</v>
      </c>
      <c r="G182" s="28" t="s">
        <v>287</v>
      </c>
    </row>
    <row r="183" spans="1:7" x14ac:dyDescent="0.2">
      <c r="A183" s="11">
        <v>167</v>
      </c>
      <c r="B183" s="5" t="s">
        <v>267</v>
      </c>
      <c r="C183" s="12" t="s">
        <v>269</v>
      </c>
      <c r="D183" s="5" t="s">
        <v>268</v>
      </c>
      <c r="E183" s="8">
        <f>18681.25+10139</f>
        <v>28820.25</v>
      </c>
      <c r="F183" s="5" t="s">
        <v>10</v>
      </c>
      <c r="G183" s="2" t="s">
        <v>23</v>
      </c>
    </row>
    <row r="184" spans="1:7" x14ac:dyDescent="0.2">
      <c r="A184" s="11">
        <v>168</v>
      </c>
      <c r="B184" s="5" t="s">
        <v>461</v>
      </c>
      <c r="C184" s="11">
        <v>83157399243</v>
      </c>
      <c r="D184" s="5" t="s">
        <v>462</v>
      </c>
      <c r="E184" s="8">
        <f>716.25+106.25</f>
        <v>822.5</v>
      </c>
      <c r="F184" s="5" t="s">
        <v>10</v>
      </c>
      <c r="G184" s="2" t="s">
        <v>23</v>
      </c>
    </row>
    <row r="185" spans="1:7" x14ac:dyDescent="0.2">
      <c r="A185" s="11">
        <v>169</v>
      </c>
      <c r="B185" s="5" t="s">
        <v>480</v>
      </c>
      <c r="C185" s="11">
        <v>69857578031</v>
      </c>
      <c r="D185" s="5" t="s">
        <v>482</v>
      </c>
      <c r="E185" s="8">
        <f>285.85+894</f>
        <v>1179.8499999999999</v>
      </c>
      <c r="F185" s="5" t="s">
        <v>10</v>
      </c>
      <c r="G185" s="2" t="s">
        <v>481</v>
      </c>
    </row>
    <row r="186" spans="1:7" x14ac:dyDescent="0.2">
      <c r="A186" s="11">
        <v>170</v>
      </c>
      <c r="B186" s="5" t="s">
        <v>56</v>
      </c>
      <c r="C186" s="11">
        <v>23308926345</v>
      </c>
      <c r="D186" s="5" t="s">
        <v>74</v>
      </c>
      <c r="E186" s="15">
        <f>3*207.31</f>
        <v>621.93000000000006</v>
      </c>
      <c r="F186" s="5" t="s">
        <v>10</v>
      </c>
      <c r="G186" s="2" t="s">
        <v>55</v>
      </c>
    </row>
    <row r="187" spans="1:7" x14ac:dyDescent="0.2">
      <c r="A187" s="11">
        <v>171</v>
      </c>
      <c r="B187" s="5" t="s">
        <v>682</v>
      </c>
      <c r="C187" s="11" t="s">
        <v>683</v>
      </c>
      <c r="D187" s="5" t="s">
        <v>684</v>
      </c>
      <c r="E187" s="8">
        <v>11660</v>
      </c>
      <c r="F187" s="5" t="s">
        <v>10</v>
      </c>
      <c r="G187" s="2" t="s">
        <v>23</v>
      </c>
    </row>
    <row r="188" spans="1:7" x14ac:dyDescent="0.2">
      <c r="A188" s="11">
        <v>172</v>
      </c>
      <c r="B188" s="5" t="s">
        <v>680</v>
      </c>
      <c r="C188" s="11">
        <v>82510351433</v>
      </c>
      <c r="D188" s="5" t="s">
        <v>681</v>
      </c>
      <c r="E188" s="8">
        <f>145.99+131.65</f>
        <v>277.64</v>
      </c>
      <c r="F188" s="5" t="s">
        <v>10</v>
      </c>
      <c r="G188" s="2" t="s">
        <v>23</v>
      </c>
    </row>
    <row r="189" spans="1:7" x14ac:dyDescent="0.2">
      <c r="A189" s="11">
        <v>173</v>
      </c>
      <c r="B189" s="5" t="s">
        <v>585</v>
      </c>
      <c r="C189" s="11">
        <v>25706416813</v>
      </c>
      <c r="D189" s="5" t="s">
        <v>609</v>
      </c>
      <c r="E189" s="8">
        <v>1596.73</v>
      </c>
      <c r="F189" s="5" t="s">
        <v>10</v>
      </c>
      <c r="G189" s="2" t="s">
        <v>23</v>
      </c>
    </row>
    <row r="190" spans="1:7" x14ac:dyDescent="0.2">
      <c r="A190" s="11">
        <v>174</v>
      </c>
      <c r="B190" s="5" t="s">
        <v>349</v>
      </c>
      <c r="C190" s="11">
        <v>31022857153</v>
      </c>
      <c r="D190" s="5" t="s">
        <v>351</v>
      </c>
      <c r="E190" s="8">
        <f>2590.85+3000</f>
        <v>5590.85</v>
      </c>
      <c r="F190" s="5" t="s">
        <v>10</v>
      </c>
      <c r="G190" s="2" t="s">
        <v>350</v>
      </c>
    </row>
    <row r="191" spans="1:7" x14ac:dyDescent="0.2">
      <c r="A191" s="11">
        <v>175</v>
      </c>
      <c r="B191" s="5" t="s">
        <v>907</v>
      </c>
      <c r="C191" s="11">
        <v>20537224592</v>
      </c>
      <c r="D191" s="5" t="s">
        <v>908</v>
      </c>
      <c r="E191" s="8">
        <v>2125</v>
      </c>
      <c r="F191" s="5" t="s">
        <v>10</v>
      </c>
      <c r="G191" s="2" t="s">
        <v>23</v>
      </c>
    </row>
    <row r="192" spans="1:7" x14ac:dyDescent="0.2">
      <c r="A192" s="11">
        <v>176</v>
      </c>
      <c r="B192" s="5" t="s">
        <v>912</v>
      </c>
      <c r="C192" s="11">
        <v>52909770220</v>
      </c>
      <c r="D192" s="5" t="s">
        <v>89</v>
      </c>
      <c r="E192" s="8">
        <v>2026.25</v>
      </c>
      <c r="F192" s="5" t="s">
        <v>10</v>
      </c>
      <c r="G192" s="2" t="s">
        <v>86</v>
      </c>
    </row>
    <row r="193" spans="1:7" x14ac:dyDescent="0.2">
      <c r="A193" s="11">
        <v>177</v>
      </c>
      <c r="B193" s="5" t="s">
        <v>1194</v>
      </c>
      <c r="C193" s="11" t="s">
        <v>717</v>
      </c>
      <c r="D193" s="5" t="s">
        <v>718</v>
      </c>
      <c r="E193" s="8">
        <v>561</v>
      </c>
      <c r="F193" s="5" t="s">
        <v>10</v>
      </c>
      <c r="G193" s="2" t="s">
        <v>23</v>
      </c>
    </row>
    <row r="194" spans="1:7" x14ac:dyDescent="0.2">
      <c r="A194" s="11">
        <v>178</v>
      </c>
      <c r="B194" s="5" t="s">
        <v>1248</v>
      </c>
      <c r="C194" s="11">
        <v>33911499305</v>
      </c>
      <c r="D194" s="5" t="s">
        <v>1249</v>
      </c>
      <c r="E194" s="8">
        <v>6231.25</v>
      </c>
      <c r="F194" s="5" t="s">
        <v>10</v>
      </c>
      <c r="G194" s="2" t="s">
        <v>23</v>
      </c>
    </row>
    <row r="195" spans="1:7" x14ac:dyDescent="0.2">
      <c r="A195" s="11">
        <v>179</v>
      </c>
      <c r="B195" s="5" t="s">
        <v>1081</v>
      </c>
      <c r="C195" s="11">
        <v>72026633009</v>
      </c>
      <c r="D195" s="5" t="s">
        <v>1082</v>
      </c>
      <c r="E195" s="8">
        <v>3121.25</v>
      </c>
      <c r="F195" s="5" t="s">
        <v>10</v>
      </c>
      <c r="G195" s="2" t="s">
        <v>23</v>
      </c>
    </row>
    <row r="196" spans="1:7" x14ac:dyDescent="0.2">
      <c r="A196" s="11">
        <v>180</v>
      </c>
      <c r="B196" s="5" t="s">
        <v>719</v>
      </c>
      <c r="C196" s="11">
        <v>88470929840</v>
      </c>
      <c r="D196" s="5" t="s">
        <v>720</v>
      </c>
      <c r="E196" s="8">
        <f>26.94+97.5</f>
        <v>124.44</v>
      </c>
      <c r="F196" s="5" t="s">
        <v>10</v>
      </c>
      <c r="G196" s="2" t="s">
        <v>23</v>
      </c>
    </row>
    <row r="197" spans="1:7" x14ac:dyDescent="0.2">
      <c r="A197" s="11">
        <v>181</v>
      </c>
      <c r="B197" s="5" t="s">
        <v>1511</v>
      </c>
      <c r="C197" s="11">
        <v>75798666307</v>
      </c>
      <c r="D197" s="5" t="s">
        <v>1512</v>
      </c>
      <c r="E197" s="8">
        <v>1095.06</v>
      </c>
      <c r="F197" s="5" t="s">
        <v>10</v>
      </c>
      <c r="G197" s="2" t="s">
        <v>637</v>
      </c>
    </row>
    <row r="198" spans="1:7" x14ac:dyDescent="0.2">
      <c r="A198" s="11">
        <v>182</v>
      </c>
      <c r="B198" s="5" t="s">
        <v>1513</v>
      </c>
      <c r="C198" s="11">
        <v>37112527890</v>
      </c>
      <c r="D198" s="5" t="s">
        <v>996</v>
      </c>
      <c r="E198" s="8">
        <v>86.18</v>
      </c>
      <c r="F198" s="5" t="s">
        <v>10</v>
      </c>
      <c r="G198" s="2" t="s">
        <v>23</v>
      </c>
    </row>
    <row r="199" spans="1:7" x14ac:dyDescent="0.2">
      <c r="A199" s="11">
        <v>183</v>
      </c>
      <c r="B199" s="5" t="s">
        <v>1514</v>
      </c>
      <c r="C199" s="11">
        <v>29224881750</v>
      </c>
      <c r="D199" s="5" t="s">
        <v>1515</v>
      </c>
      <c r="E199" s="8">
        <v>46.49</v>
      </c>
      <c r="F199" s="5" t="s">
        <v>10</v>
      </c>
      <c r="G199" s="2" t="s">
        <v>23</v>
      </c>
    </row>
    <row r="200" spans="1:7" x14ac:dyDescent="0.2">
      <c r="A200" s="11">
        <v>184</v>
      </c>
      <c r="B200" s="5" t="s">
        <v>1516</v>
      </c>
      <c r="C200" s="11">
        <v>45608235209</v>
      </c>
      <c r="D200" s="5" t="s">
        <v>1517</v>
      </c>
      <c r="E200" s="8">
        <v>85.79</v>
      </c>
      <c r="F200" s="5" t="s">
        <v>10</v>
      </c>
      <c r="G200" s="2" t="s">
        <v>23</v>
      </c>
    </row>
    <row r="201" spans="1:7" x14ac:dyDescent="0.2">
      <c r="A201" s="11">
        <v>185</v>
      </c>
      <c r="B201" s="5" t="s">
        <v>1518</v>
      </c>
      <c r="C201" s="11">
        <v>60831735275</v>
      </c>
      <c r="D201" s="5" t="s">
        <v>1519</v>
      </c>
      <c r="E201" s="8">
        <f>33+50</f>
        <v>83</v>
      </c>
      <c r="F201" s="5" t="s">
        <v>10</v>
      </c>
      <c r="G201" s="2" t="s">
        <v>23</v>
      </c>
    </row>
    <row r="202" spans="1:7" x14ac:dyDescent="0.2">
      <c r="A202" s="11">
        <v>186</v>
      </c>
      <c r="B202" s="5" t="s">
        <v>1520</v>
      </c>
      <c r="C202" s="11" t="s">
        <v>1521</v>
      </c>
      <c r="D202" s="5" t="s">
        <v>1522</v>
      </c>
      <c r="E202" s="8">
        <v>874.5</v>
      </c>
      <c r="F202" s="5" t="s">
        <v>10</v>
      </c>
      <c r="G202" s="2" t="s">
        <v>23</v>
      </c>
    </row>
    <row r="203" spans="1:7" x14ac:dyDescent="0.2">
      <c r="A203" s="11">
        <v>187</v>
      </c>
      <c r="B203" s="5" t="s">
        <v>1523</v>
      </c>
      <c r="C203" s="11">
        <v>77022388360</v>
      </c>
      <c r="D203" s="5" t="s">
        <v>1236</v>
      </c>
      <c r="E203" s="8">
        <v>37.799999999999997</v>
      </c>
      <c r="F203" s="5" t="s">
        <v>10</v>
      </c>
      <c r="G203" s="2" t="s">
        <v>23</v>
      </c>
    </row>
    <row r="204" spans="1:7" x14ac:dyDescent="0.2">
      <c r="A204" s="11">
        <v>188</v>
      </c>
      <c r="B204" s="5" t="s">
        <v>1524</v>
      </c>
      <c r="C204" s="11">
        <v>83546677787</v>
      </c>
      <c r="D204" s="5" t="s">
        <v>1525</v>
      </c>
      <c r="E204" s="8">
        <v>540.09</v>
      </c>
      <c r="F204" s="5" t="s">
        <v>10</v>
      </c>
      <c r="G204" s="2" t="s">
        <v>791</v>
      </c>
    </row>
    <row r="205" spans="1:7" x14ac:dyDescent="0.2">
      <c r="A205" s="11">
        <v>189</v>
      </c>
      <c r="B205" s="5" t="s">
        <v>65</v>
      </c>
      <c r="C205" s="11">
        <v>93039509752</v>
      </c>
      <c r="D205" s="5" t="s">
        <v>75</v>
      </c>
      <c r="E205" s="20">
        <f>970.54+1559.49+2071.98</f>
        <v>4602.01</v>
      </c>
      <c r="F205" s="19" t="s">
        <v>10</v>
      </c>
      <c r="G205" s="2" t="s">
        <v>66</v>
      </c>
    </row>
    <row r="206" spans="1:7" x14ac:dyDescent="0.2">
      <c r="A206" s="11">
        <v>190</v>
      </c>
      <c r="B206" s="5" t="s">
        <v>1526</v>
      </c>
      <c r="C206" s="11">
        <v>57845104557</v>
      </c>
      <c r="D206" s="5" t="s">
        <v>1527</v>
      </c>
      <c r="E206" s="8">
        <v>162.5</v>
      </c>
      <c r="F206" s="5" t="s">
        <v>10</v>
      </c>
      <c r="G206" s="2" t="s">
        <v>287</v>
      </c>
    </row>
    <row r="207" spans="1:7" x14ac:dyDescent="0.2">
      <c r="A207" s="11">
        <v>191</v>
      </c>
      <c r="B207" s="5" t="s">
        <v>272</v>
      </c>
      <c r="C207" s="11">
        <v>96514832734</v>
      </c>
      <c r="D207" s="5" t="s">
        <v>273</v>
      </c>
      <c r="E207" s="8">
        <f>2000+4156.25</f>
        <v>6156.25</v>
      </c>
      <c r="F207" s="5" t="s">
        <v>10</v>
      </c>
      <c r="G207" s="2" t="s">
        <v>23</v>
      </c>
    </row>
    <row r="208" spans="1:7" ht="12.75" customHeight="1" x14ac:dyDescent="0.2">
      <c r="A208" s="11">
        <v>192</v>
      </c>
      <c r="B208" s="5" t="s">
        <v>245</v>
      </c>
      <c r="C208" s="11">
        <v>48491501393</v>
      </c>
      <c r="D208" s="5" t="s">
        <v>246</v>
      </c>
      <c r="E208" s="8">
        <f>2439.54+4000</f>
        <v>6439.54</v>
      </c>
      <c r="F208" s="5" t="s">
        <v>10</v>
      </c>
      <c r="G208" s="2" t="s">
        <v>23</v>
      </c>
    </row>
    <row r="209" spans="1:7" ht="12.75" customHeight="1" x14ac:dyDescent="0.2">
      <c r="A209" s="11">
        <v>193</v>
      </c>
      <c r="B209" s="5" t="s">
        <v>526</v>
      </c>
      <c r="C209" s="11">
        <v>13534526502</v>
      </c>
      <c r="D209" s="5" t="s">
        <v>527</v>
      </c>
      <c r="E209" s="8">
        <v>4321.78</v>
      </c>
      <c r="F209" s="5" t="s">
        <v>10</v>
      </c>
      <c r="G209" s="2" t="s">
        <v>23</v>
      </c>
    </row>
    <row r="210" spans="1:7" ht="12.75" customHeight="1" x14ac:dyDescent="0.2">
      <c r="A210" s="11">
        <v>194</v>
      </c>
      <c r="B210" s="5" t="s">
        <v>159</v>
      </c>
      <c r="C210" s="11">
        <v>64862538713</v>
      </c>
      <c r="D210" s="5" t="s">
        <v>217</v>
      </c>
      <c r="E210" s="8">
        <f>359.7+15.63+231+760+156.38</f>
        <v>1522.71</v>
      </c>
      <c r="F210" s="5" t="s">
        <v>10</v>
      </c>
      <c r="G210" s="2" t="s">
        <v>23</v>
      </c>
    </row>
    <row r="211" spans="1:7" ht="12.75" customHeight="1" x14ac:dyDescent="0.2">
      <c r="A211" s="11">
        <v>195</v>
      </c>
      <c r="B211" s="5" t="s">
        <v>376</v>
      </c>
      <c r="C211" s="11">
        <v>26901839603</v>
      </c>
      <c r="D211" s="5" t="s">
        <v>377</v>
      </c>
      <c r="E211" s="8">
        <f>382.8+2842.08+128.11</f>
        <v>3352.9900000000002</v>
      </c>
      <c r="F211" s="5" t="s">
        <v>10</v>
      </c>
      <c r="G211" s="2" t="s">
        <v>23</v>
      </c>
    </row>
    <row r="212" spans="1:7" ht="12.75" customHeight="1" x14ac:dyDescent="0.2">
      <c r="A212" s="11">
        <v>196</v>
      </c>
      <c r="B212" s="5" t="s">
        <v>557</v>
      </c>
      <c r="C212" s="11">
        <v>75725588375</v>
      </c>
      <c r="D212" s="5" t="s">
        <v>558</v>
      </c>
      <c r="E212" s="8">
        <f>358.5+2960.75</f>
        <v>3319.25</v>
      </c>
      <c r="F212" s="5" t="s">
        <v>10</v>
      </c>
      <c r="G212" s="2" t="s">
        <v>23</v>
      </c>
    </row>
    <row r="213" spans="1:7" ht="12.75" customHeight="1" x14ac:dyDescent="0.2">
      <c r="A213" s="11">
        <v>197</v>
      </c>
      <c r="B213" s="5" t="s">
        <v>163</v>
      </c>
      <c r="C213" s="11">
        <v>40382428949</v>
      </c>
      <c r="D213" s="5" t="s">
        <v>220</v>
      </c>
      <c r="E213" s="8">
        <v>29.08</v>
      </c>
      <c r="F213" s="5" t="s">
        <v>10</v>
      </c>
      <c r="G213" s="2" t="s">
        <v>23</v>
      </c>
    </row>
    <row r="214" spans="1:7" ht="12.75" customHeight="1" x14ac:dyDescent="0.2">
      <c r="A214" s="11">
        <v>198</v>
      </c>
      <c r="B214" s="5" t="s">
        <v>411</v>
      </c>
      <c r="C214" s="11">
        <v>110752628</v>
      </c>
      <c r="D214" s="5" t="s">
        <v>414</v>
      </c>
      <c r="E214" s="8">
        <f>219.05+1638.61+227.58+4300.44</f>
        <v>6385.6799999999994</v>
      </c>
      <c r="F214" s="5" t="s">
        <v>10</v>
      </c>
      <c r="G214" s="2" t="s">
        <v>23</v>
      </c>
    </row>
    <row r="215" spans="1:7" ht="12.75" customHeight="1" x14ac:dyDescent="0.2">
      <c r="A215" s="11">
        <v>199</v>
      </c>
      <c r="B215" s="5" t="s">
        <v>144</v>
      </c>
      <c r="C215" s="11" t="s">
        <v>740</v>
      </c>
      <c r="D215" s="5" t="s">
        <v>740</v>
      </c>
      <c r="E215" s="8">
        <v>1377.09</v>
      </c>
      <c r="F215" s="5" t="s">
        <v>10</v>
      </c>
      <c r="G215" s="2" t="s">
        <v>1005</v>
      </c>
    </row>
    <row r="216" spans="1:7" ht="12.75" customHeight="1" x14ac:dyDescent="0.2">
      <c r="A216" s="11">
        <v>200</v>
      </c>
      <c r="B216" s="23" t="s">
        <v>191</v>
      </c>
      <c r="C216" s="24">
        <v>34421776805</v>
      </c>
      <c r="D216" s="23" t="s">
        <v>240</v>
      </c>
      <c r="E216" s="8">
        <f>472.3+1067.3+1316.14</f>
        <v>2855.74</v>
      </c>
      <c r="F216" s="5" t="s">
        <v>10</v>
      </c>
      <c r="G216" s="2" t="s">
        <v>192</v>
      </c>
    </row>
    <row r="217" spans="1:7" ht="12.75" customHeight="1" x14ac:dyDescent="0.2">
      <c r="A217" s="11">
        <v>201</v>
      </c>
      <c r="B217" s="5" t="s">
        <v>1045</v>
      </c>
      <c r="C217" s="11" t="s">
        <v>1046</v>
      </c>
      <c r="D217" s="5" t="s">
        <v>1047</v>
      </c>
      <c r="E217" s="8">
        <v>816.42</v>
      </c>
      <c r="F217" s="5" t="s">
        <v>10</v>
      </c>
      <c r="G217" s="2" t="s">
        <v>23</v>
      </c>
    </row>
    <row r="218" spans="1:7" ht="12.75" customHeight="1" x14ac:dyDescent="0.2">
      <c r="A218" s="11">
        <v>202</v>
      </c>
      <c r="B218" s="5" t="s">
        <v>17</v>
      </c>
      <c r="C218" s="11" t="s">
        <v>17</v>
      </c>
      <c r="D218" s="5" t="s">
        <v>17</v>
      </c>
      <c r="E218" s="8">
        <v>1575</v>
      </c>
      <c r="F218" s="5" t="s">
        <v>10</v>
      </c>
      <c r="G218" s="2" t="s">
        <v>1337</v>
      </c>
    </row>
    <row r="219" spans="1:7" ht="12.75" customHeight="1" x14ac:dyDescent="0.2">
      <c r="A219" s="11">
        <v>203</v>
      </c>
      <c r="B219" s="5" t="s">
        <v>1143</v>
      </c>
      <c r="C219" s="12" t="s">
        <v>1144</v>
      </c>
      <c r="D219" s="5" t="s">
        <v>1142</v>
      </c>
      <c r="E219" s="8">
        <v>9456</v>
      </c>
      <c r="F219" s="5" t="s">
        <v>10</v>
      </c>
      <c r="G219" s="2" t="s">
        <v>23</v>
      </c>
    </row>
    <row r="220" spans="1:7" ht="12.75" customHeight="1" x14ac:dyDescent="0.2">
      <c r="A220" s="11">
        <v>204</v>
      </c>
      <c r="B220" s="5" t="s">
        <v>1233</v>
      </c>
      <c r="C220" s="12">
        <v>88137585457</v>
      </c>
      <c r="D220" s="5" t="s">
        <v>1234</v>
      </c>
      <c r="E220" s="8">
        <v>1397.56</v>
      </c>
      <c r="F220" s="5" t="s">
        <v>10</v>
      </c>
      <c r="G220" s="2" t="s">
        <v>23</v>
      </c>
    </row>
    <row r="221" spans="1:7" ht="12.75" customHeight="1" x14ac:dyDescent="0.2">
      <c r="A221" s="11">
        <v>205</v>
      </c>
      <c r="B221" s="5" t="s">
        <v>302</v>
      </c>
      <c r="C221" s="11" t="s">
        <v>303</v>
      </c>
      <c r="D221" s="5" t="s">
        <v>304</v>
      </c>
      <c r="E221" s="8">
        <v>1000</v>
      </c>
      <c r="F221" s="5" t="s">
        <v>10</v>
      </c>
      <c r="G221" s="2" t="s">
        <v>23</v>
      </c>
    </row>
    <row r="222" spans="1:7" ht="12.75" customHeight="1" x14ac:dyDescent="0.2">
      <c r="A222" s="11">
        <v>206</v>
      </c>
      <c r="B222" s="5" t="s">
        <v>1488</v>
      </c>
      <c r="C222" s="12" t="s">
        <v>1489</v>
      </c>
      <c r="D222" s="5" t="s">
        <v>1490</v>
      </c>
      <c r="E222" s="8">
        <v>265.27999999999997</v>
      </c>
      <c r="F222" s="5" t="s">
        <v>10</v>
      </c>
      <c r="G222" s="2" t="s">
        <v>23</v>
      </c>
    </row>
    <row r="223" spans="1:7" ht="12.75" customHeight="1" x14ac:dyDescent="0.2">
      <c r="A223" s="11">
        <v>207</v>
      </c>
      <c r="B223" s="5" t="s">
        <v>54</v>
      </c>
      <c r="C223" s="12" t="s">
        <v>69</v>
      </c>
      <c r="D223" s="5" t="s">
        <v>68</v>
      </c>
      <c r="E223" s="8">
        <v>3197.5</v>
      </c>
      <c r="F223" s="5" t="s">
        <v>10</v>
      </c>
      <c r="G223" s="2" t="s">
        <v>55</v>
      </c>
    </row>
    <row r="224" spans="1:7" ht="12.75" customHeight="1" x14ac:dyDescent="0.2">
      <c r="A224" s="11">
        <v>208</v>
      </c>
      <c r="B224" s="5" t="s">
        <v>790</v>
      </c>
      <c r="C224" s="12" t="s">
        <v>793</v>
      </c>
      <c r="D224" s="5" t="s">
        <v>792</v>
      </c>
      <c r="E224" s="8">
        <v>240</v>
      </c>
      <c r="F224" s="5" t="s">
        <v>10</v>
      </c>
      <c r="G224" s="2" t="s">
        <v>791</v>
      </c>
    </row>
    <row r="225" spans="1:7" ht="12.75" customHeight="1" x14ac:dyDescent="0.2">
      <c r="A225" s="11">
        <v>209</v>
      </c>
      <c r="B225" s="5" t="s">
        <v>1103</v>
      </c>
      <c r="C225" s="11">
        <v>82298562620</v>
      </c>
      <c r="D225" s="5" t="s">
        <v>1106</v>
      </c>
      <c r="E225" s="8">
        <f>347.43+225.6</f>
        <v>573.03</v>
      </c>
      <c r="F225" s="5" t="s">
        <v>10</v>
      </c>
      <c r="G225" s="2" t="s">
        <v>637</v>
      </c>
    </row>
    <row r="226" spans="1:7" ht="12.75" customHeight="1" x14ac:dyDescent="0.2">
      <c r="A226" s="11">
        <v>210</v>
      </c>
      <c r="B226" s="5" t="s">
        <v>1528</v>
      </c>
      <c r="C226" s="11" t="s">
        <v>1529</v>
      </c>
      <c r="D226" s="5" t="s">
        <v>1530</v>
      </c>
      <c r="E226" s="8">
        <v>3095</v>
      </c>
      <c r="F226" s="5" t="s">
        <v>10</v>
      </c>
      <c r="G226" s="2" t="s">
        <v>23</v>
      </c>
    </row>
    <row r="227" spans="1:7" ht="12.75" customHeight="1" x14ac:dyDescent="0.2">
      <c r="A227" s="11">
        <v>211</v>
      </c>
      <c r="B227" s="5" t="s">
        <v>1531</v>
      </c>
      <c r="C227" s="11" t="s">
        <v>1532</v>
      </c>
      <c r="D227" s="5" t="s">
        <v>1533</v>
      </c>
      <c r="E227" s="8">
        <v>624</v>
      </c>
      <c r="F227" s="5" t="s">
        <v>10</v>
      </c>
      <c r="G227" s="2" t="s">
        <v>23</v>
      </c>
    </row>
    <row r="228" spans="1:7" ht="12.75" customHeight="1" x14ac:dyDescent="0.2">
      <c r="A228" s="11">
        <v>212</v>
      </c>
      <c r="B228" s="5" t="s">
        <v>451</v>
      </c>
      <c r="C228" s="11" t="s">
        <v>452</v>
      </c>
      <c r="D228" s="5" t="s">
        <v>453</v>
      </c>
      <c r="E228" s="8">
        <f>1612.1+1510.55+2969.9+6000+41.52+1063.84</f>
        <v>13197.91</v>
      </c>
      <c r="F228" s="5" t="s">
        <v>10</v>
      </c>
      <c r="G228" s="2" t="s">
        <v>23</v>
      </c>
    </row>
    <row r="229" spans="1:7" ht="12.75" customHeight="1" x14ac:dyDescent="0.2">
      <c r="A229" s="11">
        <v>213</v>
      </c>
      <c r="B229" s="5" t="s">
        <v>732</v>
      </c>
      <c r="C229" s="11">
        <v>80972836106</v>
      </c>
      <c r="D229" s="5" t="s">
        <v>733</v>
      </c>
      <c r="E229" s="8">
        <f>64.2+120.6</f>
        <v>184.8</v>
      </c>
      <c r="F229" s="5" t="s">
        <v>10</v>
      </c>
      <c r="G229" s="2" t="s">
        <v>173</v>
      </c>
    </row>
    <row r="230" spans="1:7" x14ac:dyDescent="0.2">
      <c r="A230" s="11">
        <v>214</v>
      </c>
      <c r="B230" s="5" t="s">
        <v>724</v>
      </c>
      <c r="C230" s="11">
        <v>97304721774</v>
      </c>
      <c r="D230" s="5" t="s">
        <v>725</v>
      </c>
      <c r="E230" s="8">
        <v>358.75</v>
      </c>
      <c r="F230" s="5" t="s">
        <v>10</v>
      </c>
      <c r="G230" s="2" t="s">
        <v>23</v>
      </c>
    </row>
    <row r="231" spans="1:7" x14ac:dyDescent="0.2">
      <c r="A231" s="11">
        <v>215</v>
      </c>
      <c r="B231" s="5" t="s">
        <v>642</v>
      </c>
      <c r="C231" s="11">
        <v>84996591256</v>
      </c>
      <c r="D231" s="5" t="s">
        <v>643</v>
      </c>
      <c r="E231" s="8">
        <v>162.93</v>
      </c>
      <c r="F231" s="5" t="s">
        <v>10</v>
      </c>
      <c r="G231" s="2" t="s">
        <v>23</v>
      </c>
    </row>
    <row r="232" spans="1:7" x14ac:dyDescent="0.2">
      <c r="A232" s="11">
        <v>216</v>
      </c>
      <c r="B232" s="5" t="s">
        <v>1123</v>
      </c>
      <c r="C232" s="11">
        <v>87680972455</v>
      </c>
      <c r="D232" s="5" t="s">
        <v>1124</v>
      </c>
      <c r="E232" s="8">
        <v>102.06</v>
      </c>
      <c r="F232" s="5" t="s">
        <v>10</v>
      </c>
      <c r="G232" s="2" t="s">
        <v>23</v>
      </c>
    </row>
    <row r="233" spans="1:7" x14ac:dyDescent="0.2">
      <c r="A233" s="11">
        <v>217</v>
      </c>
      <c r="B233" s="5" t="s">
        <v>1266</v>
      </c>
      <c r="C233" s="11">
        <v>80805858278</v>
      </c>
      <c r="D233" s="5" t="s">
        <v>253</v>
      </c>
      <c r="E233" s="8">
        <f>55.91+64.61</f>
        <v>120.52</v>
      </c>
      <c r="F233" s="5" t="s">
        <v>10</v>
      </c>
      <c r="G233" s="2" t="s">
        <v>64</v>
      </c>
    </row>
    <row r="234" spans="1:7" x14ac:dyDescent="0.2">
      <c r="A234" s="11">
        <v>218</v>
      </c>
      <c r="B234" s="5" t="s">
        <v>1534</v>
      </c>
      <c r="C234" s="11">
        <v>70914161709</v>
      </c>
      <c r="D234" s="5" t="s">
        <v>1535</v>
      </c>
      <c r="E234" s="8">
        <f>218.75+225</f>
        <v>443.75</v>
      </c>
      <c r="F234" s="5" t="s">
        <v>10</v>
      </c>
      <c r="G234" s="2" t="s">
        <v>287</v>
      </c>
    </row>
    <row r="235" spans="1:7" x14ac:dyDescent="0.2">
      <c r="A235" s="11">
        <v>219</v>
      </c>
      <c r="B235" s="5" t="s">
        <v>1536</v>
      </c>
      <c r="C235" s="11">
        <v>58421021869</v>
      </c>
      <c r="D235" s="5" t="s">
        <v>1537</v>
      </c>
      <c r="E235" s="8">
        <f>4000+1918.18+3290.4+2743.2+450+3335.4</f>
        <v>15737.179999999998</v>
      </c>
      <c r="F235" s="5" t="s">
        <v>10</v>
      </c>
      <c r="G235" s="2" t="s">
        <v>23</v>
      </c>
    </row>
    <row r="236" spans="1:7" x14ac:dyDescent="0.2">
      <c r="A236" s="11">
        <v>220</v>
      </c>
      <c r="B236" s="5" t="s">
        <v>1538</v>
      </c>
      <c r="C236" s="11">
        <v>64717998440</v>
      </c>
      <c r="D236" s="5" t="s">
        <v>1539</v>
      </c>
      <c r="E236" s="8">
        <v>276.02999999999997</v>
      </c>
      <c r="F236" s="5" t="s">
        <v>10</v>
      </c>
      <c r="G236" s="2" t="s">
        <v>23</v>
      </c>
    </row>
    <row r="237" spans="1:7" x14ac:dyDescent="0.2">
      <c r="A237" s="11">
        <v>221</v>
      </c>
      <c r="B237" s="5" t="s">
        <v>1540</v>
      </c>
      <c r="C237" s="11" t="s">
        <v>1541</v>
      </c>
      <c r="D237" s="5" t="s">
        <v>1542</v>
      </c>
      <c r="E237" s="8">
        <v>525.20000000000005</v>
      </c>
      <c r="F237" s="5" t="s">
        <v>10</v>
      </c>
      <c r="G237" s="2" t="s">
        <v>23</v>
      </c>
    </row>
    <row r="238" spans="1:7" x14ac:dyDescent="0.2">
      <c r="A238" s="11">
        <v>222</v>
      </c>
      <c r="B238" s="5" t="s">
        <v>403</v>
      </c>
      <c r="C238" s="11">
        <v>95325472047</v>
      </c>
      <c r="D238" s="5" t="s">
        <v>404</v>
      </c>
      <c r="E238" s="8">
        <f>138.6+105.5+388.95</f>
        <v>633.04999999999995</v>
      </c>
      <c r="F238" s="5" t="s">
        <v>10</v>
      </c>
      <c r="G238" s="2" t="s">
        <v>23</v>
      </c>
    </row>
    <row r="239" spans="1:7" x14ac:dyDescent="0.2">
      <c r="A239" s="11">
        <v>223</v>
      </c>
      <c r="B239" s="5" t="s">
        <v>511</v>
      </c>
      <c r="C239" s="11">
        <v>10765766984</v>
      </c>
      <c r="D239" s="5" t="s">
        <v>513</v>
      </c>
      <c r="E239" s="8">
        <v>2376</v>
      </c>
      <c r="F239" s="5" t="s">
        <v>10</v>
      </c>
      <c r="G239" s="2" t="s">
        <v>23</v>
      </c>
    </row>
    <row r="240" spans="1:7" x14ac:dyDescent="0.2">
      <c r="A240" s="11">
        <v>224</v>
      </c>
      <c r="B240" s="5" t="s">
        <v>152</v>
      </c>
      <c r="C240" s="11">
        <v>54948902275</v>
      </c>
      <c r="D240" s="5" t="s">
        <v>212</v>
      </c>
      <c r="E240" s="8">
        <v>419.9</v>
      </c>
      <c r="F240" s="5" t="s">
        <v>10</v>
      </c>
      <c r="G240" s="2" t="s">
        <v>153</v>
      </c>
    </row>
    <row r="241" spans="1:7" x14ac:dyDescent="0.2">
      <c r="A241" s="11">
        <v>225</v>
      </c>
      <c r="B241" s="5" t="s">
        <v>337</v>
      </c>
      <c r="C241" s="11">
        <v>97994010225</v>
      </c>
      <c r="D241" s="5" t="s">
        <v>338</v>
      </c>
      <c r="E241" s="8">
        <f>293.56+27.9</f>
        <v>321.45999999999998</v>
      </c>
      <c r="F241" s="5" t="s">
        <v>10</v>
      </c>
      <c r="G241" s="2" t="s">
        <v>23</v>
      </c>
    </row>
    <row r="242" spans="1:7" x14ac:dyDescent="0.2">
      <c r="A242" s="11">
        <v>226</v>
      </c>
      <c r="B242" s="5" t="s">
        <v>709</v>
      </c>
      <c r="C242" s="11">
        <v>34604734054</v>
      </c>
      <c r="D242" s="5" t="s">
        <v>710</v>
      </c>
      <c r="E242" s="8">
        <v>40</v>
      </c>
      <c r="F242" s="5" t="s">
        <v>10</v>
      </c>
      <c r="G242" s="2" t="s">
        <v>330</v>
      </c>
    </row>
    <row r="243" spans="1:7" x14ac:dyDescent="0.2">
      <c r="A243" s="11">
        <v>227</v>
      </c>
      <c r="B243" s="5" t="s">
        <v>1543</v>
      </c>
      <c r="C243" s="11">
        <v>36365310424</v>
      </c>
      <c r="D243" s="5" t="s">
        <v>1303</v>
      </c>
      <c r="E243" s="8">
        <v>15.33</v>
      </c>
      <c r="F243" s="5" t="s">
        <v>10</v>
      </c>
      <c r="G243" s="2" t="s">
        <v>23</v>
      </c>
    </row>
    <row r="244" spans="1:7" x14ac:dyDescent="0.2">
      <c r="A244" s="11">
        <v>228</v>
      </c>
      <c r="B244" s="5" t="s">
        <v>1544</v>
      </c>
      <c r="C244" s="11">
        <v>22800253557</v>
      </c>
      <c r="D244" s="5" t="s">
        <v>1545</v>
      </c>
      <c r="E244" s="8">
        <v>36.65</v>
      </c>
      <c r="F244" s="5" t="s">
        <v>10</v>
      </c>
      <c r="G244" s="2" t="s">
        <v>23</v>
      </c>
    </row>
    <row r="245" spans="1:7" x14ac:dyDescent="0.2">
      <c r="A245" s="11">
        <v>229</v>
      </c>
      <c r="B245" s="5" t="s">
        <v>1546</v>
      </c>
      <c r="C245" s="11">
        <v>24467257339</v>
      </c>
      <c r="D245" s="5" t="s">
        <v>1547</v>
      </c>
      <c r="E245" s="8">
        <v>146.06</v>
      </c>
      <c r="F245" s="5" t="s">
        <v>10</v>
      </c>
      <c r="G245" s="2" t="s">
        <v>287</v>
      </c>
    </row>
    <row r="246" spans="1:7" x14ac:dyDescent="0.2">
      <c r="A246" s="11">
        <v>230</v>
      </c>
      <c r="B246" s="5" t="s">
        <v>1380</v>
      </c>
      <c r="C246" s="11">
        <v>60566702025</v>
      </c>
      <c r="D246" s="5" t="s">
        <v>1202</v>
      </c>
      <c r="E246" s="8">
        <v>14.8</v>
      </c>
      <c r="F246" s="5" t="s">
        <v>10</v>
      </c>
      <c r="G246" s="2" t="s">
        <v>23</v>
      </c>
    </row>
    <row r="247" spans="1:7" x14ac:dyDescent="0.2">
      <c r="A247" s="11">
        <v>231</v>
      </c>
      <c r="B247" s="5" t="s">
        <v>1548</v>
      </c>
      <c r="C247" s="11">
        <v>56817905451</v>
      </c>
      <c r="D247" s="5" t="s">
        <v>1549</v>
      </c>
      <c r="E247" s="8">
        <v>7.06</v>
      </c>
      <c r="F247" s="5" t="s">
        <v>10</v>
      </c>
      <c r="G247" s="2" t="s">
        <v>23</v>
      </c>
    </row>
    <row r="248" spans="1:7" x14ac:dyDescent="0.2">
      <c r="A248" s="11">
        <v>232</v>
      </c>
      <c r="B248" s="5" t="s">
        <v>1550</v>
      </c>
      <c r="C248" s="11" t="s">
        <v>1551</v>
      </c>
      <c r="D248" s="5" t="s">
        <v>1552</v>
      </c>
      <c r="E248" s="8">
        <v>945</v>
      </c>
      <c r="F248" s="5" t="s">
        <v>10</v>
      </c>
      <c r="G248" s="2" t="s">
        <v>23</v>
      </c>
    </row>
    <row r="249" spans="1:7" x14ac:dyDescent="0.2">
      <c r="A249" s="11">
        <v>233</v>
      </c>
      <c r="B249" s="5" t="s">
        <v>579</v>
      </c>
      <c r="C249" s="11">
        <v>54527841697</v>
      </c>
      <c r="D249" s="5" t="s">
        <v>602</v>
      </c>
      <c r="E249" s="8">
        <f>514.26+182.6+382.5+382.5</f>
        <v>1461.8600000000001</v>
      </c>
      <c r="F249" s="5" t="s">
        <v>10</v>
      </c>
      <c r="G249" s="2" t="s">
        <v>23</v>
      </c>
    </row>
    <row r="250" spans="1:7" x14ac:dyDescent="0.2">
      <c r="A250" s="11">
        <v>234</v>
      </c>
      <c r="B250" s="5" t="s">
        <v>420</v>
      </c>
      <c r="C250" s="11">
        <v>57495737984</v>
      </c>
      <c r="D250" s="5" t="s">
        <v>421</v>
      </c>
      <c r="E250" s="8">
        <f>84.46+248.63+279.96</f>
        <v>613.04999999999995</v>
      </c>
      <c r="F250" s="5" t="s">
        <v>10</v>
      </c>
      <c r="G250" s="2" t="s">
        <v>287</v>
      </c>
    </row>
    <row r="251" spans="1:7" x14ac:dyDescent="0.2">
      <c r="A251" s="11">
        <v>235</v>
      </c>
      <c r="B251" s="5" t="s">
        <v>809</v>
      </c>
      <c r="C251" s="11" t="s">
        <v>811</v>
      </c>
      <c r="D251" s="5" t="s">
        <v>810</v>
      </c>
      <c r="E251" s="8">
        <f>2596+276</f>
        <v>2872</v>
      </c>
      <c r="F251" s="5" t="s">
        <v>10</v>
      </c>
      <c r="G251" s="2" t="s">
        <v>23</v>
      </c>
    </row>
    <row r="252" spans="1:7" x14ac:dyDescent="0.2">
      <c r="A252" s="11">
        <v>236</v>
      </c>
      <c r="B252" s="5" t="s">
        <v>700</v>
      </c>
      <c r="C252" s="11">
        <v>61876916009</v>
      </c>
      <c r="D252" s="5" t="s">
        <v>701</v>
      </c>
      <c r="E252" s="8">
        <v>1318.75</v>
      </c>
      <c r="F252" s="5" t="s">
        <v>10</v>
      </c>
      <c r="G252" s="2" t="s">
        <v>23</v>
      </c>
    </row>
    <row r="253" spans="1:7" x14ac:dyDescent="0.2">
      <c r="A253" s="11">
        <v>237</v>
      </c>
      <c r="B253" s="5" t="s">
        <v>781</v>
      </c>
      <c r="C253" s="11" t="s">
        <v>783</v>
      </c>
      <c r="D253" s="5" t="s">
        <v>782</v>
      </c>
      <c r="E253" s="8">
        <v>277.72000000000003</v>
      </c>
      <c r="F253" s="5" t="s">
        <v>10</v>
      </c>
      <c r="G253" s="2" t="s">
        <v>23</v>
      </c>
    </row>
    <row r="254" spans="1:7" x14ac:dyDescent="0.2">
      <c r="A254" s="11">
        <v>238</v>
      </c>
      <c r="B254" s="5" t="s">
        <v>737</v>
      </c>
      <c r="C254" s="11">
        <v>60916661214</v>
      </c>
      <c r="D254" s="5" t="s">
        <v>736</v>
      </c>
      <c r="E254" s="8">
        <v>185.75</v>
      </c>
      <c r="F254" s="5" t="s">
        <v>10</v>
      </c>
      <c r="G254" s="2" t="s">
        <v>173</v>
      </c>
    </row>
    <row r="255" spans="1:7" x14ac:dyDescent="0.2">
      <c r="A255" s="11">
        <v>239</v>
      </c>
      <c r="B255" s="5" t="s">
        <v>947</v>
      </c>
      <c r="C255" s="11">
        <v>18499608152</v>
      </c>
      <c r="D255" s="5" t="s">
        <v>948</v>
      </c>
      <c r="E255" s="8">
        <v>20.440000000000001</v>
      </c>
      <c r="F255" s="5" t="s">
        <v>10</v>
      </c>
      <c r="G255" s="2" t="s">
        <v>23</v>
      </c>
    </row>
    <row r="256" spans="1:7" x14ac:dyDescent="0.2">
      <c r="A256" s="11">
        <v>240</v>
      </c>
      <c r="B256" s="5" t="s">
        <v>1135</v>
      </c>
      <c r="C256" s="11">
        <v>60126992663</v>
      </c>
      <c r="D256" s="5" t="s">
        <v>1136</v>
      </c>
      <c r="E256" s="8">
        <v>16.149999999999999</v>
      </c>
      <c r="F256" s="5" t="s">
        <v>10</v>
      </c>
      <c r="G256" s="2" t="s">
        <v>23</v>
      </c>
    </row>
    <row r="257" spans="1:7" x14ac:dyDescent="0.2">
      <c r="A257" s="11">
        <v>241</v>
      </c>
      <c r="B257" s="5" t="s">
        <v>1553</v>
      </c>
      <c r="C257" s="11">
        <v>89102192044</v>
      </c>
      <c r="D257" s="5" t="s">
        <v>1554</v>
      </c>
      <c r="E257" s="8">
        <v>299</v>
      </c>
      <c r="F257" s="5" t="s">
        <v>10</v>
      </c>
      <c r="G257" s="2" t="s">
        <v>481</v>
      </c>
    </row>
    <row r="258" spans="1:7" x14ac:dyDescent="0.2">
      <c r="A258" s="11">
        <v>242</v>
      </c>
      <c r="B258" s="5" t="s">
        <v>437</v>
      </c>
      <c r="C258" s="11">
        <v>76147579166</v>
      </c>
      <c r="D258" s="5" t="s">
        <v>438</v>
      </c>
      <c r="E258" s="8">
        <f>465.18+191.57+252.1</f>
        <v>908.85</v>
      </c>
      <c r="F258" s="5" t="s">
        <v>10</v>
      </c>
      <c r="G258" s="2" t="s">
        <v>23</v>
      </c>
    </row>
    <row r="259" spans="1:7" x14ac:dyDescent="0.2">
      <c r="A259" s="11">
        <v>243</v>
      </c>
      <c r="B259" s="5" t="s">
        <v>517</v>
      </c>
      <c r="C259" s="11">
        <v>79378753915</v>
      </c>
      <c r="D259" s="5" t="s">
        <v>518</v>
      </c>
      <c r="E259" s="8">
        <v>798.5</v>
      </c>
      <c r="F259" s="5" t="s">
        <v>10</v>
      </c>
      <c r="G259" s="2" t="s">
        <v>23</v>
      </c>
    </row>
    <row r="260" spans="1:7" x14ac:dyDescent="0.2">
      <c r="A260" s="11">
        <v>244</v>
      </c>
      <c r="B260" s="5" t="s">
        <v>593</v>
      </c>
      <c r="C260" s="11">
        <v>41261796409</v>
      </c>
      <c r="D260" s="5" t="s">
        <v>592</v>
      </c>
      <c r="E260" s="8">
        <f>6560+90</f>
        <v>6650</v>
      </c>
      <c r="F260" s="5" t="s">
        <v>10</v>
      </c>
      <c r="G260" s="2" t="s">
        <v>23</v>
      </c>
    </row>
    <row r="261" spans="1:7" x14ac:dyDescent="0.2">
      <c r="A261" s="11">
        <v>245</v>
      </c>
      <c r="B261" s="5" t="s">
        <v>428</v>
      </c>
      <c r="C261" s="11">
        <v>53785632625</v>
      </c>
      <c r="D261" s="5" t="s">
        <v>429</v>
      </c>
      <c r="E261" s="8">
        <f>168.75+414.68+1790.43</f>
        <v>2373.86</v>
      </c>
      <c r="F261" s="5" t="s">
        <v>10</v>
      </c>
      <c r="G261" s="2" t="s">
        <v>23</v>
      </c>
    </row>
    <row r="262" spans="1:7" x14ac:dyDescent="0.2">
      <c r="A262" s="11">
        <v>246</v>
      </c>
      <c r="B262" s="5" t="s">
        <v>471</v>
      </c>
      <c r="C262" s="11">
        <v>54661026138</v>
      </c>
      <c r="D262" s="5" t="s">
        <v>472</v>
      </c>
      <c r="E262" s="8">
        <f>228.46+1054.58+836.19+987.6+1581.86+179.38+161.75+62.5</f>
        <v>5092.32</v>
      </c>
      <c r="F262" s="5" t="s">
        <v>10</v>
      </c>
      <c r="G262" s="2" t="s">
        <v>23</v>
      </c>
    </row>
    <row r="263" spans="1:7" x14ac:dyDescent="0.2">
      <c r="A263" s="11">
        <v>247</v>
      </c>
      <c r="B263" s="5" t="s">
        <v>550</v>
      </c>
      <c r="C263" s="11">
        <v>22911773746</v>
      </c>
      <c r="D263" s="5" t="s">
        <v>551</v>
      </c>
      <c r="E263" s="8">
        <f>630+2140+1457.5</f>
        <v>4227.5</v>
      </c>
      <c r="F263" s="5" t="s">
        <v>10</v>
      </c>
      <c r="G263" s="2" t="s">
        <v>23</v>
      </c>
    </row>
    <row r="264" spans="1:7" x14ac:dyDescent="0.2">
      <c r="A264" s="11">
        <v>248</v>
      </c>
      <c r="B264" s="5" t="s">
        <v>182</v>
      </c>
      <c r="C264" s="12" t="s">
        <v>234</v>
      </c>
      <c r="D264" s="5" t="s">
        <v>233</v>
      </c>
      <c r="E264" s="8">
        <f>424.76+349.55</f>
        <v>774.31</v>
      </c>
      <c r="F264" s="5" t="s">
        <v>10</v>
      </c>
      <c r="G264" s="2" t="s">
        <v>23</v>
      </c>
    </row>
    <row r="265" spans="1:7" x14ac:dyDescent="0.2">
      <c r="A265" s="11">
        <v>249</v>
      </c>
      <c r="B265" s="5" t="s">
        <v>648</v>
      </c>
      <c r="C265" s="12">
        <v>80423934513</v>
      </c>
      <c r="D265" s="5" t="s">
        <v>649</v>
      </c>
      <c r="E265" s="8">
        <v>456.25</v>
      </c>
      <c r="F265" s="5" t="s">
        <v>10</v>
      </c>
      <c r="G265" s="2" t="s">
        <v>260</v>
      </c>
    </row>
    <row r="266" spans="1:7" x14ac:dyDescent="0.2">
      <c r="A266" s="11">
        <v>250</v>
      </c>
      <c r="B266" s="5" t="s">
        <v>1139</v>
      </c>
      <c r="C266" s="11">
        <v>66402309304</v>
      </c>
      <c r="D266" s="5" t="s">
        <v>1140</v>
      </c>
      <c r="E266" s="8">
        <v>187.5</v>
      </c>
      <c r="F266" s="5" t="s">
        <v>10</v>
      </c>
      <c r="G266" s="2" t="s">
        <v>23</v>
      </c>
    </row>
    <row r="267" spans="1:7" x14ac:dyDescent="0.2">
      <c r="A267" s="11">
        <v>251</v>
      </c>
      <c r="B267" s="5" t="s">
        <v>1555</v>
      </c>
      <c r="C267" s="11">
        <v>54821149855</v>
      </c>
      <c r="D267" s="5" t="s">
        <v>1556</v>
      </c>
      <c r="E267" s="8">
        <v>129.31</v>
      </c>
      <c r="F267" s="5" t="s">
        <v>10</v>
      </c>
      <c r="G267" s="2" t="s">
        <v>287</v>
      </c>
    </row>
    <row r="268" spans="1:7" x14ac:dyDescent="0.2">
      <c r="A268" s="11">
        <v>252</v>
      </c>
      <c r="B268" s="5" t="s">
        <v>1557</v>
      </c>
      <c r="C268" s="11">
        <v>29519763547</v>
      </c>
      <c r="D268" s="5" t="s">
        <v>1558</v>
      </c>
      <c r="E268" s="8">
        <v>7.8</v>
      </c>
      <c r="F268" s="5" t="s">
        <v>10</v>
      </c>
      <c r="G268" s="2" t="s">
        <v>23</v>
      </c>
    </row>
    <row r="269" spans="1:7" x14ac:dyDescent="0.2">
      <c r="A269" s="11">
        <v>253</v>
      </c>
      <c r="B269" s="5" t="s">
        <v>1559</v>
      </c>
      <c r="C269" s="11">
        <v>35882567377</v>
      </c>
      <c r="D269" s="5" t="s">
        <v>1280</v>
      </c>
      <c r="E269" s="8">
        <v>72.25</v>
      </c>
      <c r="F269" s="5" t="s">
        <v>10</v>
      </c>
      <c r="G269" s="2" t="s">
        <v>23</v>
      </c>
    </row>
    <row r="270" spans="1:7" x14ac:dyDescent="0.2">
      <c r="A270" s="11">
        <v>254</v>
      </c>
      <c r="B270" s="5" t="s">
        <v>1560</v>
      </c>
      <c r="C270" s="11">
        <v>78853440387</v>
      </c>
      <c r="D270" s="5" t="s">
        <v>1469</v>
      </c>
      <c r="E270" s="8">
        <f>187.5+3370.43</f>
        <v>3557.93</v>
      </c>
      <c r="F270" s="5" t="s">
        <v>10</v>
      </c>
      <c r="G270" s="2" t="s">
        <v>23</v>
      </c>
    </row>
    <row r="271" spans="1:7" x14ac:dyDescent="0.2">
      <c r="A271" s="11">
        <v>255</v>
      </c>
      <c r="B271" s="5" t="s">
        <v>1561</v>
      </c>
      <c r="C271" s="12">
        <v>39824206096</v>
      </c>
      <c r="D271" s="5" t="s">
        <v>1562</v>
      </c>
      <c r="E271" s="8">
        <v>32.700000000000003</v>
      </c>
      <c r="F271" s="5" t="s">
        <v>10</v>
      </c>
      <c r="G271" s="2" t="s">
        <v>23</v>
      </c>
    </row>
    <row r="272" spans="1:7" x14ac:dyDescent="0.2">
      <c r="A272" s="11">
        <v>256</v>
      </c>
      <c r="B272" s="5" t="s">
        <v>1335</v>
      </c>
      <c r="C272" s="12" t="s">
        <v>750</v>
      </c>
      <c r="D272" s="5" t="s">
        <v>751</v>
      </c>
      <c r="E272" s="8">
        <v>93.96</v>
      </c>
      <c r="F272" s="5" t="s">
        <v>10</v>
      </c>
      <c r="G272" s="2" t="s">
        <v>330</v>
      </c>
    </row>
    <row r="273" spans="1:7" ht="5.25" customHeight="1" x14ac:dyDescent="0.2">
      <c r="A273" s="11"/>
      <c r="B273" s="5"/>
      <c r="C273" s="11"/>
      <c r="D273" s="5"/>
      <c r="E273" s="8"/>
      <c r="F273" s="5"/>
      <c r="G273" s="2"/>
    </row>
    <row r="275" spans="1:7" x14ac:dyDescent="0.2">
      <c r="D275" s="53" t="s">
        <v>1563</v>
      </c>
      <c r="E275" s="54">
        <f>SUM(E11:E273)</f>
        <v>3162113.6500000004</v>
      </c>
    </row>
  </sheetData>
  <sheetProtection algorithmName="SHA-512" hashValue="hBlr57mOfAW4HlMZQ236E/hgvo1n8kXsFQ0R0zn0oNEn86BgjB1RjCCPhItV+eLC9XJkRuINPw1zkuRdO8Vrbw==" saltValue="d3g9S3DV5mii/+wmQHmqUw==" spinCount="100000" sheet="1" objects="1" scenarios="1" selectLockedCells="1" autoFilter="0" selectUnlockedCells="1"/>
  <autoFilter ref="A10:G272" xr:uid="{271EB582-4B66-4279-9C59-BD5D836790C0}"/>
  <mergeCells count="28">
    <mergeCell ref="A6:B6"/>
    <mergeCell ref="A7:B7"/>
    <mergeCell ref="C8:F8"/>
    <mergeCell ref="A30:A31"/>
    <mergeCell ref="B30:B31"/>
    <mergeCell ref="C30:C31"/>
    <mergeCell ref="D30:D31"/>
    <mergeCell ref="F30:F31"/>
    <mergeCell ref="A38:A39"/>
    <mergeCell ref="B38:B39"/>
    <mergeCell ref="C38:C39"/>
    <mergeCell ref="D38:D39"/>
    <mergeCell ref="F38:F39"/>
    <mergeCell ref="A36:A37"/>
    <mergeCell ref="B36:B37"/>
    <mergeCell ref="C36:C37"/>
    <mergeCell ref="D36:D37"/>
    <mergeCell ref="F36:F37"/>
    <mergeCell ref="A147:A149"/>
    <mergeCell ref="B147:B149"/>
    <mergeCell ref="C147:C149"/>
    <mergeCell ref="D147:D149"/>
    <mergeCell ref="F147:F149"/>
    <mergeCell ref="A54:A55"/>
    <mergeCell ref="B54:B55"/>
    <mergeCell ref="C54:C55"/>
    <mergeCell ref="D54:D55"/>
    <mergeCell ref="F54:F5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012024</vt:lpstr>
      <vt:lpstr>022024 </vt:lpstr>
      <vt:lpstr>032024 </vt:lpstr>
      <vt:lpstr>042024 </vt:lpstr>
      <vt:lpstr>052024</vt:lpstr>
      <vt:lpstr>062024</vt:lpstr>
      <vt:lpstr>072024</vt:lpstr>
      <vt:lpstr>082024</vt:lpstr>
      <vt:lpstr>092024</vt:lpstr>
      <vt:lpstr>102024</vt:lpstr>
      <vt:lpstr>112024</vt:lpstr>
      <vt:lpstr>122024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Gabrić Macan</dc:creator>
  <cp:lastModifiedBy>Mirjana Gabrić Macan</cp:lastModifiedBy>
  <cp:lastPrinted>2024-05-08T10:47:24Z</cp:lastPrinted>
  <dcterms:created xsi:type="dcterms:W3CDTF">2024-01-29T13:15:26Z</dcterms:created>
  <dcterms:modified xsi:type="dcterms:W3CDTF">2025-01-13T13:59:15Z</dcterms:modified>
</cp:coreProperties>
</file>