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6\05-2026\"/>
    </mc:Choice>
  </mc:AlternateContent>
  <xr:revisionPtr revIDLastSave="0" documentId="13_ncr:1_{B49157B8-6A80-4AB4-AC32-B109AE83A903}" xr6:coauthVersionLast="47" xr6:coauthVersionMax="47" xr10:uidLastSave="{00000000-0000-0000-0000-000000000000}"/>
  <bookViews>
    <workbookView xWindow="20370" yWindow="-120" windowWidth="29040" windowHeight="15840" activeTab="4" xr2:uid="{07C6CC63-B6DB-476E-833A-35E38DA3334D}"/>
  </bookViews>
  <sheets>
    <sheet name="012026" sheetId="1" r:id="rId1"/>
    <sheet name="022026" sheetId="2" r:id="rId2"/>
    <sheet name="032026" sheetId="4" r:id="rId3"/>
    <sheet name="042026" sheetId="5" r:id="rId4"/>
    <sheet name="052026" sheetId="6" r:id="rId5"/>
  </sheets>
  <definedNames>
    <definedName name="_xlnm._FilterDatabase" localSheetId="0" hidden="1">'012026'!$A$10:$G$216</definedName>
    <definedName name="_xlnm._FilterDatabase" localSheetId="1" hidden="1">'022026'!$A$10:$G$264</definedName>
    <definedName name="_xlnm._FilterDatabase" localSheetId="2" hidden="1">'032026'!$A$10:$G$10</definedName>
    <definedName name="_xlnm._FilterDatabase" localSheetId="3" hidden="1">'042026'!$A$10:$G$10</definedName>
    <definedName name="_xlnm._FilterDatabase" localSheetId="4" hidden="1">'052026'!$A$10:$G$246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6" i="6" l="1"/>
  <c r="E245" i="6"/>
  <c r="E243" i="6"/>
  <c r="E241" i="6"/>
  <c r="E239" i="6"/>
  <c r="E237" i="6"/>
  <c r="E234" i="6"/>
  <c r="E233" i="6"/>
  <c r="E232" i="6"/>
  <c r="E230" i="6"/>
  <c r="E229" i="6"/>
  <c r="E228" i="6"/>
  <c r="E227" i="6"/>
  <c r="E226" i="6"/>
  <c r="E224" i="6"/>
  <c r="E223" i="6"/>
  <c r="E222" i="6"/>
  <c r="E221" i="6"/>
  <c r="E220" i="6"/>
  <c r="E219" i="6"/>
  <c r="E218" i="6"/>
  <c r="E217" i="6"/>
  <c r="E215" i="6"/>
  <c r="E214" i="6"/>
  <c r="E213" i="6"/>
  <c r="E212" i="6"/>
  <c r="E211" i="6"/>
  <c r="E209" i="6"/>
  <c r="E208" i="6"/>
  <c r="E207" i="6"/>
  <c r="E206" i="6"/>
  <c r="E205" i="6"/>
  <c r="E204" i="6"/>
  <c r="E203" i="6"/>
  <c r="E202" i="6"/>
  <c r="E200" i="6"/>
  <c r="E199" i="6"/>
  <c r="E198" i="6"/>
  <c r="E197" i="6"/>
  <c r="E196" i="6"/>
  <c r="E195" i="6"/>
  <c r="E194" i="6"/>
  <c r="E192" i="6"/>
  <c r="E191" i="6"/>
  <c r="E189" i="6"/>
  <c r="E188" i="6"/>
  <c r="E187" i="6"/>
  <c r="E186" i="6"/>
  <c r="E185" i="6"/>
  <c r="E184" i="6"/>
  <c r="E183" i="6"/>
  <c r="E182" i="6"/>
  <c r="E181" i="6"/>
  <c r="E179" i="6"/>
  <c r="E177" i="6"/>
  <c r="E176" i="6"/>
  <c r="E175" i="6"/>
  <c r="E174" i="6"/>
  <c r="E171" i="6"/>
  <c r="E170" i="6"/>
  <c r="E169" i="6"/>
  <c r="E168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49" i="6"/>
  <c r="E148" i="6"/>
  <c r="E147" i="6"/>
  <c r="E146" i="6"/>
  <c r="E145" i="6"/>
  <c r="E136" i="6"/>
  <c r="E134" i="6"/>
  <c r="E132" i="6"/>
  <c r="E129" i="6"/>
  <c r="E127" i="6"/>
  <c r="E126" i="6"/>
  <c r="E125" i="6"/>
  <c r="E124" i="6"/>
  <c r="E123" i="6"/>
  <c r="E122" i="6"/>
  <c r="E121" i="6"/>
  <c r="E118" i="6"/>
  <c r="E117" i="6"/>
  <c r="E114" i="6"/>
  <c r="E112" i="6"/>
  <c r="E111" i="6"/>
  <c r="E107" i="6"/>
  <c r="E103" i="6"/>
  <c r="E102" i="6"/>
  <c r="E100" i="6"/>
  <c r="E99" i="6"/>
  <c r="E98" i="6"/>
  <c r="E97" i="6"/>
  <c r="E96" i="6"/>
  <c r="E95" i="6"/>
  <c r="E94" i="6"/>
  <c r="E93" i="6"/>
  <c r="E92" i="6"/>
  <c r="E91" i="6"/>
  <c r="E89" i="6"/>
  <c r="E83" i="6"/>
  <c r="E82" i="6"/>
  <c r="E81" i="6"/>
  <c r="E80" i="6"/>
  <c r="E79" i="6"/>
  <c r="E78" i="6"/>
  <c r="E77" i="6"/>
  <c r="E71" i="6"/>
  <c r="E69" i="6"/>
  <c r="E68" i="6"/>
  <c r="E67" i="6"/>
  <c r="E66" i="6"/>
  <c r="E65" i="6"/>
  <c r="E63" i="6"/>
  <c r="E59" i="6"/>
  <c r="E58" i="6"/>
  <c r="E57" i="6"/>
  <c r="E55" i="6"/>
  <c r="E54" i="6"/>
  <c r="E52" i="6"/>
  <c r="E48" i="6"/>
  <c r="E46" i="6"/>
  <c r="E43" i="6"/>
  <c r="E42" i="6"/>
  <c r="E40" i="6"/>
  <c r="E39" i="6"/>
  <c r="E37" i="6"/>
  <c r="E36" i="6"/>
  <c r="E34" i="6"/>
  <c r="E32" i="6"/>
  <c r="E31" i="6"/>
  <c r="E30" i="6"/>
  <c r="E27" i="6"/>
  <c r="E25" i="6"/>
  <c r="E23" i="6"/>
  <c r="E22" i="6"/>
  <c r="E17" i="6"/>
  <c r="E15" i="6"/>
  <c r="E14" i="6"/>
  <c r="E12" i="6"/>
  <c r="E11" i="6"/>
  <c r="E249" i="6" s="1"/>
  <c r="E261" i="5"/>
  <c r="E258" i="5"/>
  <c r="E257" i="5"/>
  <c r="E256" i="5"/>
  <c r="E255" i="5"/>
  <c r="E254" i="5"/>
  <c r="E252" i="5"/>
  <c r="E251" i="5"/>
  <c r="E250" i="5"/>
  <c r="E248" i="5"/>
  <c r="E247" i="5"/>
  <c r="E245" i="5"/>
  <c r="E244" i="5"/>
  <c r="E243" i="5"/>
  <c r="E242" i="5"/>
  <c r="E240" i="5"/>
  <c r="E239" i="5"/>
  <c r="E238" i="5"/>
  <c r="E237" i="5"/>
  <c r="E236" i="5"/>
  <c r="E235" i="5"/>
  <c r="E234" i="5"/>
  <c r="E233" i="5"/>
  <c r="E232" i="5"/>
  <c r="E230" i="5"/>
  <c r="E229" i="5"/>
  <c r="E226" i="5"/>
  <c r="E225" i="5"/>
  <c r="E224" i="5"/>
  <c r="E222" i="5"/>
  <c r="E221" i="5"/>
  <c r="E220" i="5"/>
  <c r="E219" i="5"/>
  <c r="E218" i="5"/>
  <c r="E217" i="5"/>
  <c r="E216" i="5"/>
  <c r="E214" i="5"/>
  <c r="E213" i="5"/>
  <c r="E212" i="5"/>
  <c r="E211" i="5"/>
  <c r="E210" i="5"/>
  <c r="E208" i="5"/>
  <c r="E207" i="5"/>
  <c r="E206" i="5"/>
  <c r="E204" i="5"/>
  <c r="E201" i="5"/>
  <c r="E199" i="5"/>
  <c r="E197" i="5"/>
  <c r="E193" i="5"/>
  <c r="E190" i="5"/>
  <c r="E189" i="5"/>
  <c r="E187" i="5"/>
  <c r="E186" i="5"/>
  <c r="E185" i="5"/>
  <c r="E184" i="5"/>
  <c r="E182" i="5"/>
  <c r="E181" i="5"/>
  <c r="E180" i="5"/>
  <c r="E179" i="5"/>
  <c r="E178" i="5"/>
  <c r="E177" i="5"/>
  <c r="E176" i="5"/>
  <c r="E174" i="5"/>
  <c r="E173" i="5"/>
  <c r="E172" i="5"/>
  <c r="E171" i="5"/>
  <c r="E170" i="5"/>
  <c r="E168" i="5"/>
  <c r="E165" i="5"/>
  <c r="E164" i="5"/>
  <c r="E162" i="5"/>
  <c r="E161" i="5"/>
  <c r="E159" i="5"/>
  <c r="E158" i="5"/>
  <c r="E155" i="5"/>
  <c r="E154" i="5"/>
  <c r="E153" i="5"/>
  <c r="E152" i="5"/>
  <c r="E146" i="5"/>
  <c r="E143" i="5"/>
  <c r="E142" i="5"/>
  <c r="E141" i="5"/>
  <c r="E138" i="5"/>
  <c r="E133" i="5"/>
  <c r="E123" i="5"/>
  <c r="E119" i="5"/>
  <c r="E118" i="5"/>
  <c r="E116" i="5"/>
  <c r="E115" i="5"/>
  <c r="E114" i="5"/>
  <c r="E112" i="5"/>
  <c r="E110" i="5"/>
  <c r="E109" i="5"/>
  <c r="E108" i="5"/>
  <c r="E107" i="5"/>
  <c r="E106" i="5"/>
  <c r="E101" i="5"/>
  <c r="E100" i="5"/>
  <c r="E95" i="5"/>
  <c r="E91" i="5"/>
  <c r="E89" i="5"/>
  <c r="E88" i="5"/>
  <c r="E83" i="5"/>
  <c r="E80" i="5"/>
  <c r="E79" i="5"/>
  <c r="E78" i="5"/>
  <c r="E77" i="5"/>
  <c r="E70" i="5"/>
  <c r="E65" i="5"/>
  <c r="E62" i="5"/>
  <c r="E59" i="5"/>
  <c r="E51" i="5"/>
  <c r="E45" i="5"/>
  <c r="E43" i="5"/>
  <c r="E41" i="5"/>
  <c r="E37" i="5"/>
  <c r="E34" i="5"/>
  <c r="E32" i="5"/>
  <c r="E31" i="5"/>
  <c r="E30" i="5"/>
  <c r="E29" i="5"/>
  <c r="E28" i="5"/>
  <c r="E26" i="5"/>
  <c r="E25" i="5"/>
  <c r="E24" i="5"/>
  <c r="E22" i="5"/>
  <c r="E21" i="5"/>
  <c r="E20" i="5"/>
  <c r="E19" i="5"/>
  <c r="E15" i="5"/>
  <c r="E14" i="5"/>
  <c r="E12" i="5"/>
  <c r="E11" i="5"/>
  <c r="E260" i="4" l="1"/>
  <c r="E259" i="4"/>
  <c r="E255" i="4"/>
  <c r="E254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39" i="4"/>
  <c r="E238" i="4"/>
  <c r="E237" i="4"/>
  <c r="E236" i="4"/>
  <c r="E235" i="4"/>
  <c r="E229" i="4"/>
  <c r="E228" i="4"/>
  <c r="E227" i="4"/>
  <c r="E225" i="4"/>
  <c r="E224" i="4"/>
  <c r="E221" i="4"/>
  <c r="E218" i="4"/>
  <c r="E217" i="4"/>
  <c r="E216" i="4"/>
  <c r="E215" i="4"/>
  <c r="E213" i="4"/>
  <c r="E212" i="4"/>
  <c r="E211" i="4"/>
  <c r="E210" i="4"/>
  <c r="E209" i="4"/>
  <c r="E208" i="4"/>
  <c r="E207" i="4"/>
  <c r="E206" i="4"/>
  <c r="E205" i="4"/>
  <c r="E204" i="4"/>
  <c r="E202" i="4"/>
  <c r="E201" i="4"/>
  <c r="E199" i="4"/>
  <c r="E198" i="4"/>
  <c r="E197" i="4"/>
  <c r="E195" i="4"/>
  <c r="E194" i="4"/>
  <c r="E193" i="4"/>
  <c r="E192" i="4"/>
  <c r="E189" i="4"/>
  <c r="E188" i="4"/>
  <c r="E187" i="4"/>
  <c r="E185" i="4"/>
  <c r="E184" i="4"/>
  <c r="E183" i="4"/>
  <c r="E181" i="4"/>
  <c r="E179" i="4"/>
  <c r="E178" i="4"/>
  <c r="E177" i="4"/>
  <c r="E176" i="4"/>
  <c r="E175" i="4"/>
  <c r="E174" i="4"/>
  <c r="E172" i="4"/>
  <c r="E171" i="4"/>
  <c r="E169" i="4"/>
  <c r="E168" i="4"/>
  <c r="E165" i="4"/>
  <c r="E164" i="4"/>
  <c r="E163" i="4"/>
  <c r="E161" i="4"/>
  <c r="E160" i="4"/>
  <c r="E159" i="4"/>
  <c r="E158" i="4"/>
  <c r="E157" i="4"/>
  <c r="E156" i="4"/>
  <c r="E155" i="4"/>
  <c r="E153" i="4"/>
  <c r="E152" i="4"/>
  <c r="E151" i="4"/>
  <c r="E150" i="4"/>
  <c r="E149" i="4"/>
  <c r="E148" i="4"/>
  <c r="E144" i="4"/>
  <c r="E143" i="4"/>
  <c r="E135" i="4"/>
  <c r="E134" i="4"/>
  <c r="E133" i="4"/>
  <c r="E132" i="4"/>
  <c r="E131" i="4"/>
  <c r="E130" i="4"/>
  <c r="E129" i="4"/>
  <c r="E125" i="4"/>
  <c r="E124" i="4"/>
  <c r="E123" i="4"/>
  <c r="E122" i="4"/>
  <c r="E121" i="4"/>
  <c r="E119" i="4"/>
  <c r="E118" i="4"/>
  <c r="E117" i="4"/>
  <c r="E116" i="4"/>
  <c r="E115" i="4"/>
  <c r="E113" i="4"/>
  <c r="E112" i="4"/>
  <c r="E110" i="4"/>
  <c r="E108" i="4"/>
  <c r="E106" i="4"/>
  <c r="E105" i="4"/>
  <c r="E104" i="4"/>
  <c r="E103" i="4"/>
  <c r="E102" i="4"/>
  <c r="E101" i="4"/>
  <c r="E97" i="4"/>
  <c r="E96" i="4"/>
  <c r="E95" i="4"/>
  <c r="E94" i="4"/>
  <c r="E92" i="4"/>
  <c r="E91" i="4"/>
  <c r="E89" i="4"/>
  <c r="E85" i="4"/>
  <c r="E78" i="4"/>
  <c r="E70" i="4"/>
  <c r="E69" i="4"/>
  <c r="E65" i="4"/>
  <c r="E64" i="4"/>
  <c r="E63" i="4"/>
  <c r="E61" i="4"/>
  <c r="E60" i="4"/>
  <c r="E59" i="4"/>
  <c r="E56" i="4"/>
  <c r="E53" i="4"/>
  <c r="E52" i="4"/>
  <c r="E49" i="4"/>
  <c r="E46" i="4"/>
  <c r="E44" i="4"/>
  <c r="E41" i="4"/>
  <c r="E38" i="4"/>
  <c r="E36" i="4"/>
  <c r="E33" i="4"/>
  <c r="E32" i="4"/>
  <c r="E31" i="4"/>
  <c r="E30" i="4"/>
  <c r="E29" i="4"/>
  <c r="E28" i="4"/>
  <c r="E26" i="4"/>
  <c r="E25" i="4"/>
  <c r="E24" i="4"/>
  <c r="E23" i="4"/>
  <c r="E17" i="4"/>
  <c r="E14" i="4"/>
  <c r="E12" i="4"/>
  <c r="E11" i="4"/>
  <c r="E263" i="4" s="1"/>
  <c r="E264" i="2" l="1"/>
  <c r="E263" i="2"/>
  <c r="E261" i="2"/>
  <c r="E259" i="2"/>
  <c r="E258" i="2"/>
  <c r="E257" i="2"/>
  <c r="E255" i="2"/>
  <c r="E254" i="2"/>
  <c r="E253" i="2"/>
  <c r="E252" i="2"/>
  <c r="E251" i="2"/>
  <c r="E248" i="2"/>
  <c r="E247" i="2"/>
  <c r="E246" i="2"/>
  <c r="E245" i="2"/>
  <c r="E241" i="2"/>
  <c r="E240" i="2"/>
  <c r="E239" i="2"/>
  <c r="E238" i="2"/>
  <c r="E236" i="2"/>
  <c r="E234" i="2"/>
  <c r="E233" i="2"/>
  <c r="E231" i="2"/>
  <c r="E229" i="2"/>
  <c r="E228" i="2"/>
  <c r="E227" i="2"/>
  <c r="E226" i="2"/>
  <c r="E225" i="2"/>
  <c r="E224" i="2"/>
  <c r="E222" i="2"/>
  <c r="E221" i="2"/>
  <c r="E220" i="2"/>
  <c r="E219" i="2"/>
  <c r="E218" i="2"/>
  <c r="E217" i="2"/>
  <c r="E216" i="2"/>
  <c r="E215" i="2"/>
  <c r="E214" i="2"/>
  <c r="E211" i="2"/>
  <c r="E210" i="2"/>
  <c r="E209" i="2"/>
  <c r="E208" i="2"/>
  <c r="E207" i="2"/>
  <c r="E206" i="2"/>
  <c r="E205" i="2"/>
  <c r="E204" i="2"/>
  <c r="E203" i="2"/>
  <c r="E202" i="2"/>
  <c r="E201" i="2"/>
  <c r="E199" i="2"/>
  <c r="E198" i="2"/>
  <c r="E197" i="2"/>
  <c r="E196" i="2"/>
  <c r="E195" i="2"/>
  <c r="E194" i="2"/>
  <c r="E193" i="2"/>
  <c r="E192" i="2"/>
  <c r="E191" i="2"/>
  <c r="E190" i="2"/>
  <c r="E189" i="2"/>
  <c r="E187" i="2"/>
  <c r="E186" i="2"/>
  <c r="E185" i="2"/>
  <c r="E184" i="2"/>
  <c r="E183" i="2"/>
  <c r="E182" i="2"/>
  <c r="E181" i="2"/>
  <c r="E180" i="2"/>
  <c r="E178" i="2"/>
  <c r="E177" i="2"/>
  <c r="E176" i="2"/>
  <c r="E175" i="2"/>
  <c r="E174" i="2"/>
  <c r="E173" i="2"/>
  <c r="E170" i="2"/>
  <c r="E169" i="2"/>
  <c r="E168" i="2"/>
  <c r="E167" i="2"/>
  <c r="E165" i="2"/>
  <c r="E164" i="2"/>
  <c r="E163" i="2"/>
  <c r="E162" i="2"/>
  <c r="E161" i="2"/>
  <c r="E160" i="2"/>
  <c r="E159" i="2"/>
  <c r="E157" i="2"/>
  <c r="E156" i="2"/>
  <c r="E155" i="2"/>
  <c r="E154" i="2"/>
  <c r="E153" i="2"/>
  <c r="E152" i="2"/>
  <c r="E151" i="2"/>
  <c r="E150" i="2"/>
  <c r="E149" i="2"/>
  <c r="E148" i="2"/>
  <c r="E146" i="2"/>
  <c r="E145" i="2"/>
  <c r="E144" i="2"/>
  <c r="E143" i="2"/>
  <c r="E142" i="2"/>
  <c r="E141" i="2"/>
  <c r="E140" i="2"/>
  <c r="E138" i="2"/>
  <c r="E134" i="2"/>
  <c r="E128" i="2"/>
  <c r="E123" i="2"/>
  <c r="E122" i="2"/>
  <c r="E120" i="2"/>
  <c r="E119" i="2"/>
  <c r="E116" i="2"/>
  <c r="E115" i="2"/>
  <c r="E113" i="2"/>
  <c r="E112" i="2"/>
  <c r="E109" i="2"/>
  <c r="E108" i="2"/>
  <c r="E106" i="2"/>
  <c r="E105" i="2"/>
  <c r="E103" i="2"/>
  <c r="E101" i="2"/>
  <c r="E96" i="2"/>
  <c r="E93" i="2"/>
  <c r="E90" i="2"/>
  <c r="E89" i="2"/>
  <c r="E88" i="2"/>
  <c r="E87" i="2"/>
  <c r="E79" i="2"/>
  <c r="E75" i="2"/>
  <c r="E74" i="2"/>
  <c r="E73" i="2"/>
  <c r="E70" i="2"/>
  <c r="E69" i="2"/>
  <c r="E68" i="2"/>
  <c r="E64" i="2"/>
  <c r="E63" i="2"/>
  <c r="E62" i="2"/>
  <c r="E61" i="2"/>
  <c r="E58" i="2"/>
  <c r="E57" i="2"/>
  <c r="E54" i="2"/>
  <c r="E52" i="2"/>
  <c r="E48" i="2"/>
  <c r="E47" i="2"/>
  <c r="E46" i="2"/>
  <c r="E44" i="2"/>
  <c r="E42" i="2"/>
  <c r="E41" i="2"/>
  <c r="E40" i="2"/>
  <c r="E39" i="2"/>
  <c r="E38" i="2"/>
  <c r="E36" i="2"/>
  <c r="E35" i="2"/>
  <c r="E32" i="2"/>
  <c r="E31" i="2"/>
  <c r="E30" i="2"/>
  <c r="E29" i="2"/>
  <c r="E26" i="2"/>
  <c r="E25" i="2"/>
  <c r="E20" i="2"/>
  <c r="E19" i="2"/>
  <c r="E17" i="2"/>
  <c r="E14" i="2"/>
  <c r="E12" i="2"/>
  <c r="E11" i="2"/>
  <c r="E267" i="2" s="1"/>
  <c r="E134" i="1" l="1"/>
  <c r="E52" i="1"/>
  <c r="E143" i="1"/>
  <c r="E175" i="1"/>
  <c r="E78" i="1"/>
  <c r="E145" i="1"/>
  <c r="E204" i="1"/>
  <c r="E154" i="1"/>
  <c r="E207" i="1"/>
  <c r="E159" i="1"/>
  <c r="E167" i="1"/>
  <c r="E176" i="1"/>
  <c r="E166" i="1"/>
  <c r="E152" i="1"/>
  <c r="E130" i="1"/>
  <c r="E131" i="1"/>
  <c r="E211" i="1"/>
  <c r="E67" i="1"/>
  <c r="E137" i="1"/>
  <c r="E68" i="1"/>
  <c r="E141" i="1"/>
  <c r="E168" i="1"/>
  <c r="E117" i="1"/>
  <c r="E115" i="1"/>
  <c r="E97" i="1"/>
  <c r="E139" i="1"/>
  <c r="E91" i="1"/>
  <c r="E39" i="1"/>
  <c r="E38" i="1"/>
  <c r="E33" i="1"/>
  <c r="E34" i="1"/>
  <c r="E36" i="1"/>
  <c r="E35" i="1"/>
  <c r="E112" i="1"/>
  <c r="E181" i="1"/>
  <c r="E212" i="1"/>
  <c r="E197" i="1"/>
  <c r="E170" i="1"/>
  <c r="E202" i="1"/>
  <c r="E213" i="1"/>
  <c r="E99" i="1"/>
  <c r="E19" i="1"/>
  <c r="E161" i="1"/>
  <c r="E150" i="1"/>
  <c r="E151" i="1"/>
  <c r="E215" i="1"/>
  <c r="E190" i="1"/>
  <c r="E108" i="1"/>
  <c r="E187" i="1"/>
  <c r="E169" i="1"/>
  <c r="E122" i="1"/>
  <c r="E179" i="1"/>
  <c r="E37" i="1"/>
  <c r="E116" i="1"/>
  <c r="E135" i="1"/>
  <c r="E160" i="1"/>
  <c r="E132" i="1"/>
  <c r="E178" i="1"/>
  <c r="E56" i="1"/>
  <c r="E61" i="1"/>
  <c r="E189" i="1"/>
  <c r="E172" i="1"/>
  <c r="E96" i="1"/>
  <c r="E173" i="1"/>
  <c r="E171" i="1"/>
  <c r="E157" i="1"/>
  <c r="E144" i="1"/>
  <c r="E165" i="1"/>
  <c r="E156" i="1"/>
  <c r="E182" i="1"/>
  <c r="E113" i="1"/>
  <c r="E48" i="1"/>
  <c r="E183" i="1"/>
  <c r="E203" i="1"/>
  <c r="E119" i="1" l="1"/>
  <c r="E188" i="1"/>
  <c r="E90" i="1"/>
  <c r="E121" i="1"/>
  <c r="E58" i="1"/>
  <c r="E216" i="1"/>
  <c r="E210" i="1"/>
  <c r="E44" i="1"/>
  <c r="E105" i="1"/>
  <c r="E28" i="1"/>
  <c r="E118" i="1"/>
  <c r="E206" i="1" l="1"/>
  <c r="E196" i="1"/>
  <c r="E50" i="1"/>
  <c r="E107" i="1"/>
  <c r="E136" i="1"/>
  <c r="E195" i="1"/>
  <c r="E177" i="1"/>
  <c r="E164" i="1"/>
  <c r="E133" i="1"/>
  <c r="E111" i="1"/>
  <c r="E41" i="1"/>
  <c r="E63" i="1"/>
  <c r="E114" i="1"/>
  <c r="E219" i="1" l="1"/>
</calcChain>
</file>

<file path=xl/sharedStrings.xml><?xml version="1.0" encoding="utf-8"?>
<sst xmlns="http://schemas.openxmlformats.org/spreadsheetml/2006/main" count="4964" uniqueCount="1094">
  <si>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</si>
  <si>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</si>
  <si>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</si>
  <si>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</si>
  <si>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</si>
  <si>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</si>
  <si>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</si>
  <si>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</si>
  <si>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</si>
  <si>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</si>
  <si>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</si>
  <si>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</si>
  <si>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</si>
  <si>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</si>
  <si>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</si>
  <si>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</si>
  <si>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</si>
  <si>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</si>
  <si>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</si>
  <si>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</si>
  <si>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</si>
  <si>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MORLAK D.O.O.</t>
  </si>
  <si>
    <t>PEVEX D.D.</t>
  </si>
  <si>
    <t>Petrovaradinska ulica 1, Zagreb</t>
  </si>
  <si>
    <t>Rooseveltov trg 2, Zagreb</t>
  </si>
  <si>
    <t>02958272670</t>
  </si>
  <si>
    <t>Lindlarska ulica 19, Kaštel Lukšić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</si>
  <si>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</si>
  <si>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</si>
  <si>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</si>
  <si>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</si>
  <si>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</si>
  <si>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</si>
  <si>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HRVATSKE AUTOCESTE D.O.O.</t>
  </si>
  <si>
    <t>cestarina</t>
  </si>
  <si>
    <t>Ulica Stjepana Širole 4, zagreb</t>
  </si>
  <si>
    <t>eksterne usluge - preračun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</si>
  <si>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</si>
  <si>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</si>
  <si>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</si>
  <si>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</si>
  <si>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</si>
  <si>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</si>
  <si>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</si>
  <si>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</si>
  <si>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</si>
  <si>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</si>
  <si>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</si>
  <si>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</si>
  <si>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</si>
  <si>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</si>
  <si>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</si>
  <si>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</si>
  <si>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</si>
  <si>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</si>
  <si>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informatičke usluge</t>
  </si>
  <si>
    <t>ELEKTRONIČKI RAČUNI d.o.o</t>
  </si>
  <si>
    <t>Ulica Simona Gregorčiča 8, Zagreb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</si>
  <si>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</si>
  <si>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</si>
  <si>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</si>
  <si>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</si>
  <si>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</si>
  <si>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</si>
  <si>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</si>
  <si>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</si>
  <si>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</si>
  <si>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MESSER CROATIA PLIN  D.O.O</t>
  </si>
  <si>
    <t>Industrijska ulica 1, Zaprešić</t>
  </si>
  <si>
    <t>Martina Ballinga 5, Vinkovci</t>
  </si>
  <si>
    <t>odvoz smeća</t>
  </si>
  <si>
    <t>NEVKOŠ d.o.o.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</si>
  <si>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</si>
  <si>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</si>
  <si>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</si>
  <si>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</si>
  <si>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</si>
  <si>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smrt užeg člana obitelji</t>
  </si>
  <si>
    <t>TELEMACH HRVATSKA D.O.O.</t>
  </si>
  <si>
    <t>Hrvatski Telekom d.d</t>
  </si>
  <si>
    <t>Radnička cesta 21, Zagreb</t>
  </si>
  <si>
    <t>Ulica Josipa Marohnića 1,, Zagreb</t>
  </si>
  <si>
    <t>ČISTOĆA I ZELENILO d.o.o.</t>
  </si>
  <si>
    <t>Gradsko komunalno poduzeće KOMUNALAC d.o.o.</t>
  </si>
  <si>
    <t>UNIKOM D.O.O.</t>
  </si>
  <si>
    <t>DRŽAVNI PRORAČUN REPUBLIKE HRVATSKE</t>
  </si>
  <si>
    <t>OSI naknada</t>
  </si>
  <si>
    <t>A/D  ELECTRONIC D.O.O.</t>
  </si>
  <si>
    <t>AD PLUS D.O.O.</t>
  </si>
  <si>
    <t>ŠARED 26 C; IZOLA, Slovenija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</si>
  <si>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</si>
  <si>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</si>
  <si>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</si>
  <si>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</si>
  <si>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</si>
  <si>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</si>
  <si>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ostali troškovi</t>
  </si>
  <si>
    <t>otpremnina</t>
  </si>
  <si>
    <t>putni nalozi - dnevnice</t>
  </si>
  <si>
    <t>poštanske usluge</t>
  </si>
  <si>
    <t>HP HRVATSKA POSTA D.D.</t>
  </si>
  <si>
    <t>BAUHAUS-ZAGREB, KOMANDITNO DRUŠTVO ZA TRGOVINU I USLUGE</t>
  </si>
  <si>
    <t>BOLF D.O.O</t>
  </si>
  <si>
    <t>BUTAN PLIN d.o.o.</t>
  </si>
  <si>
    <t>premije osiguranja osoba</t>
  </si>
  <si>
    <t>EUROHERC OSIGURANJE d.d.</t>
  </si>
  <si>
    <t>premije za AO</t>
  </si>
  <si>
    <t>ELEX d.o.o</t>
  </si>
  <si>
    <t>protupožarna zaštita</t>
  </si>
  <si>
    <t>renta po presudi</t>
  </si>
  <si>
    <t>Mosna 15, Koprivnica</t>
  </si>
  <si>
    <t>Trg Oluje 5.kolovoza 1995, 9, Knin</t>
  </si>
  <si>
    <t>07507345484</t>
  </si>
  <si>
    <t>Ružina ulica 11A, Osijek</t>
  </si>
  <si>
    <t>Uska 1, Čakovec</t>
  </si>
  <si>
    <t>SI99334011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</si>
  <si>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</si>
  <si>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</si>
  <si>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</si>
  <si>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</si>
  <si>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</si>
  <si>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Poštanska ulica 9, Velika Gorica</t>
  </si>
  <si>
    <t>BAČELIĆ D.O.O</t>
  </si>
  <si>
    <t>Avenija Većeslava Holjevca 54, Zagreb</t>
  </si>
  <si>
    <t>Ulica Velimira Škorpika 27, Zagreb</t>
  </si>
  <si>
    <t>Ulica Ivana Rendića 3, Zagreb</t>
  </si>
  <si>
    <t>ULICA RIJEKE DRAGONJE 23, Novigrad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</si>
  <si>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</si>
  <si>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</si>
  <si>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</si>
  <si>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</si>
  <si>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</si>
  <si>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</si>
  <si>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</si>
  <si>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</si>
  <si>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</si>
  <si>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</si>
  <si>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</si>
  <si>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</si>
  <si>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</si>
  <si>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trošak plina</t>
  </si>
  <si>
    <t>INA MAZIVA  d.o.o.</t>
  </si>
  <si>
    <t>Radnička cesta 175, Zagreb</t>
  </si>
  <si>
    <t>NARODNE NOVINE d.d.</t>
  </si>
  <si>
    <t>Savski gaj XIII. 6, Zagreb</t>
  </si>
  <si>
    <t>NOVOTECH d.o.o.</t>
  </si>
  <si>
    <t>Ulica Grada Wirgesa 10/9, Samobor</t>
  </si>
  <si>
    <t>tekuće održavanje osnovnih sredstava</t>
  </si>
  <si>
    <t>SMART CORPORATION d.o.o</t>
  </si>
  <si>
    <t>Zavrtnica 5, Zagreb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</si>
  <si>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</si>
  <si>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</si>
  <si>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</si>
  <si>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</si>
  <si>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</si>
  <si>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</si>
  <si>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</si>
  <si>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</si>
  <si>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</si>
  <si>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</si>
  <si>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</si>
  <si>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</si>
  <si>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</si>
  <si>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</si>
  <si>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</si>
  <si>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</si>
  <si>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</si>
  <si>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</si>
  <si>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Ulica 144. brigade Hrvatske vojske 1A, Sesvete</t>
  </si>
  <si>
    <t>JEDINSTVO KRAPINA d.o.o.</t>
  </si>
  <si>
    <t>Mihaljekov Jarek 33, Krapina</t>
  </si>
  <si>
    <t>HEP-TOPLINARSTVO d.o.o.</t>
  </si>
  <si>
    <t>toplinska energija</t>
  </si>
  <si>
    <t>Miševečka ulica 15 A, Zagreb</t>
  </si>
  <si>
    <t>zdravstvene usluge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</si>
  <si>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</si>
  <si>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</si>
  <si>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</si>
  <si>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</si>
  <si>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</si>
  <si>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</si>
  <si>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GUMB d.o.o</t>
  </si>
  <si>
    <t>Splitska 10 B, Osijek</t>
  </si>
  <si>
    <t>usluge pranja i glačanja</t>
  </si>
  <si>
    <t>VOITH TURBO d.o.o.</t>
  </si>
  <si>
    <t>Grebenščica 11, Zagreb</t>
  </si>
  <si>
    <t>TM-AUTO d.o.o.</t>
  </si>
  <si>
    <t>tekuće održavanje teretnih vozila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</si>
  <si>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</si>
  <si>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</si>
  <si>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</si>
  <si>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</si>
  <si>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</si>
  <si>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</si>
  <si>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KRISTAL d.o.o. BJELOVAR</t>
  </si>
  <si>
    <t>Ružinovačka 2, Bjelovar</t>
  </si>
  <si>
    <t>HANSA-FLEX Croatia d.o.o.</t>
  </si>
  <si>
    <t>Rimski put 28, Sesvete</t>
  </si>
  <si>
    <t>GLOBEX S.R.L., PODRUZNICA V SLOVENIJI</t>
  </si>
  <si>
    <t>IOC ZAPOLJE I/7, LOGATEC, Slovenija</t>
  </si>
  <si>
    <t>SI19460716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</si>
  <si>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</si>
  <si>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</si>
  <si>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</si>
  <si>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</si>
  <si>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</si>
  <si>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</si>
  <si>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</si>
  <si>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</si>
  <si>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</si>
  <si>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</si>
  <si>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</si>
  <si>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</si>
  <si>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</si>
  <si>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</si>
  <si>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ILV PU D.O.O.</t>
  </si>
  <si>
    <t>ORBICO d.o.o.</t>
  </si>
  <si>
    <t>Koturaška cesta 69, Zagreb</t>
  </si>
  <si>
    <t>Katanićeva 24, Beograd, Srbija</t>
  </si>
  <si>
    <t>OLEUM FLEX d.o.o.</t>
  </si>
  <si>
    <t>Puškarićeva ulica 11 F, Lučko</t>
  </si>
  <si>
    <t>METALPROM d.o.o.</t>
  </si>
  <si>
    <t>Ulica Zdravka Gubaša 6, Samobor</t>
  </si>
  <si>
    <t>ROS-TRGOVINA d.o.o.</t>
  </si>
  <si>
    <t>Učkina ulica 14A, Zagreb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</si>
  <si>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</si>
  <si>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</si>
  <si>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</si>
  <si>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</si>
  <si>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</si>
  <si>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</si>
  <si>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</si>
  <si>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</si>
  <si>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</si>
  <si>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</si>
  <si>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</si>
  <si>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</si>
  <si>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</si>
  <si>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</si>
  <si>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</si>
  <si>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</si>
  <si>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</si>
  <si>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</si>
  <si>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</si>
  <si>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</si>
  <si>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</si>
  <si>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</si>
  <si>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</si>
  <si>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COVEIN AIR BRAKE SYSTEM SRL</t>
  </si>
  <si>
    <t xml:space="preserve"> IT11579910966</t>
  </si>
  <si>
    <t>PIAZZA LEGA LOMBARDA 1, Milano, Italija</t>
  </si>
  <si>
    <t>OPTICUS IT d.o.o.</t>
  </si>
  <si>
    <t>Ulica Antuna Branka Šimića 22, Zagreb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</si>
  <si>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</si>
  <si>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</si>
  <si>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</si>
  <si>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</si>
  <si>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</si>
  <si>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Fallerovo šetalište 22, Zagreb</t>
  </si>
  <si>
    <t>ROLOTEHNA d.o.o.</t>
  </si>
  <si>
    <t>Ulica Glogovničke bune 23, Križevci</t>
  </si>
  <si>
    <t>ČETKARSTVO,STOLARIJA GALATERIJA TRGOVINA</t>
  </si>
  <si>
    <t>ZAGREBAČKA 326, Varaždin</t>
  </si>
  <si>
    <t>METAL  PLUS d.o.o.</t>
  </si>
  <si>
    <t>Obrtnička 5, Zagreb</t>
  </si>
  <si>
    <t>DAL TRANS j.d.o.o.</t>
  </si>
  <si>
    <t>Predavec Križevački 21, Sveti Ivan Žabno</t>
  </si>
  <si>
    <t>VD TEHNOFILTER  d.o.o</t>
  </si>
  <si>
    <t>Velikogorička 20 - Staro Čiće, Velika Gorica</t>
  </si>
  <si>
    <t>TRINA obrt za trgovinu</t>
  </si>
  <si>
    <t>KG ZELINA d.o.o.</t>
  </si>
  <si>
    <t>ORBAN TEHNIKA D.O.O.</t>
  </si>
  <si>
    <t>VIKLER d.o.o.</t>
  </si>
  <si>
    <t>ELMAR INTERNATIONAL D.O.O.</t>
  </si>
  <si>
    <t>Zagrebačka cesta 194, Zagreb</t>
  </si>
  <si>
    <t>TEHNOGUMA d.o.o. za proiz. i promet gumenih poizvoda</t>
  </si>
  <si>
    <t>Obrtnička ulica 1, Zagreb</t>
  </si>
  <si>
    <t>Ulica Milutina Barača 4A, Sv Ivan Zelina</t>
  </si>
  <si>
    <t>Vinogradska cesta 79, Zagreb</t>
  </si>
  <si>
    <t>Milutina Barača 7, Rijeka</t>
  </si>
  <si>
    <t>MOLEROVA 47, Beograd, Srbija</t>
  </si>
  <si>
    <t>KONČAR - ELEKTRIČNA  VOZILA  d.d.</t>
  </si>
  <si>
    <t>naknada učeniku za naukovanje</t>
  </si>
  <si>
    <t>tekuće održavanje automobila</t>
  </si>
  <si>
    <t>Josipa Matasovića 1, Vinkovci</t>
  </si>
  <si>
    <t>STP 'AUTOKLUB VINKOVCI'</t>
  </si>
  <si>
    <t>tehnički pregled i registracija vozila</t>
  </si>
  <si>
    <t>Capraška ulica 6, Zagreb</t>
  </si>
  <si>
    <t>DK STROJNA OBRADA METALA</t>
  </si>
  <si>
    <t>ZAGORSKA SELA 33, ZAGORSKA SELA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</si>
  <si>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</si>
  <si>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</si>
  <si>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</si>
  <si>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</si>
  <si>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</si>
  <si>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</si>
  <si>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</si>
  <si>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 xml:space="preserve">Specijalistička ord. med.  rada Grozdana Hanžek </t>
  </si>
  <si>
    <t>ZAGREBAČKA 94a, Varaždin</t>
  </si>
  <si>
    <t>KOMUNALNO PODUZEĆE D.O.O.</t>
  </si>
  <si>
    <t>Trg oluje 9, Knin</t>
  </si>
  <si>
    <t>FINANCIJSKA AGENCIJA</t>
  </si>
  <si>
    <t>Ulica grada Vukovara 70, Zagreb</t>
  </si>
  <si>
    <t>na</t>
  </si>
  <si>
    <t>Buzinska cesta 58, Buzin</t>
  </si>
  <si>
    <t>smještaj radnika na službenom putu</t>
  </si>
  <si>
    <t>TIM KABEL D.O.O.</t>
  </si>
  <si>
    <t>Savska cesta 103, Sesvete</t>
  </si>
  <si>
    <t>POPIJAC-KOVINAR d.o.o.</t>
  </si>
  <si>
    <t>Velikogorička 18, Vukovina</t>
  </si>
  <si>
    <t>M PLUS d.o.o.</t>
  </si>
  <si>
    <t>Jezdarska ulica 22, Maribor, Slovenija</t>
  </si>
  <si>
    <t>SI42258618</t>
  </si>
  <si>
    <t>LUMIO21 D.O.O.</t>
  </si>
  <si>
    <t>Gradiška ulica 3,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</si>
  <si>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</si>
  <si>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</si>
  <si>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</si>
  <si>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</si>
  <si>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</si>
  <si>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Straža 111, Viškovo</t>
  </si>
  <si>
    <t>AUTO STELLA</t>
  </si>
  <si>
    <t>Feldstraße 9 d, Innsbruck, Austrija</t>
  </si>
  <si>
    <t>B.HEPWORTH &amp; COMPANY LTD</t>
  </si>
  <si>
    <t>4 MERSE ROAD,WORCESTERSHIRE, UK</t>
  </si>
  <si>
    <t>GB369302837</t>
  </si>
  <si>
    <t>BIBUS ZAGREB D.O.O.</t>
  </si>
  <si>
    <t>Kovinska ulica 28, Zagreb</t>
  </si>
  <si>
    <t>Hrvoja Vukčić - Hrvatinića 118A, Vinkovci</t>
  </si>
  <si>
    <t>Dužice 19,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</si>
  <si>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</si>
  <si>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</si>
  <si>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</si>
  <si>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</si>
  <si>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</si>
  <si>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</si>
  <si>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</si>
  <si>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CENTAR ZA VOZILA HRVATSKE D.D.</t>
  </si>
  <si>
    <t xml:space="preserve">FOERCH d.o.o </t>
  </si>
  <si>
    <t>VAR d.o.o.</t>
  </si>
  <si>
    <t>Ulica Ivana Keleka 18 a, Sesvete</t>
  </si>
  <si>
    <t>Trgovački obrt "MARIĆ COMMERCE", vl. Ivica Marić</t>
  </si>
  <si>
    <t>7. GBR 24, KNIN</t>
  </si>
  <si>
    <t>Maksimilijana Vrhovca 11, Karlovac</t>
  </si>
  <si>
    <t>HRVATSKO DRUŠTVO ŽELJEZNIČKIH INŽENJERA</t>
  </si>
  <si>
    <t>troškovi oglašavanja</t>
  </si>
  <si>
    <t>KOVIS d.o.o.</t>
  </si>
  <si>
    <t>BIJUK HPC d.o.o.</t>
  </si>
  <si>
    <t>Vrbovec 1a, Vrbovec Samoborski</t>
  </si>
  <si>
    <t>KD VODOVOD I KANALIZACIJA d.o.o.</t>
  </si>
  <si>
    <t>ILIRIC-EKO d.o.o.</t>
  </si>
  <si>
    <t>MALTAR d.o.o.</t>
  </si>
  <si>
    <t>Ulica Franca Prešerna 1, Varaždin</t>
  </si>
  <si>
    <t>SET d.o.o.</t>
  </si>
  <si>
    <t>Pakračka ulica 3, Bjelovar</t>
  </si>
  <si>
    <t>Petrinjska 89, Zagreb</t>
  </si>
  <si>
    <t>EKO-DERATIZACIJA D.O.O.</t>
  </si>
  <si>
    <t>Črnkovečka 9 A, Zagreb</t>
  </si>
  <si>
    <t>trošak deratizacije i dezinfekcije</t>
  </si>
  <si>
    <t>GROUPAMA OSIGURANJE d.d.</t>
  </si>
  <si>
    <t>Ulica grada Vukovara 284, Zagreb</t>
  </si>
  <si>
    <t>EURO ROSA IP d.o.o.</t>
  </si>
  <si>
    <t>Froudeova ulica 3, Zagreb</t>
  </si>
  <si>
    <t>TOMISLAV BALAŽINEC AUTOPRIJEVOZNIK</t>
  </si>
  <si>
    <t>Ivana Gundulića 4, Varaždinske toplice</t>
  </si>
  <si>
    <t>BENEFIT SYSTEMS D.O.O.</t>
  </si>
  <si>
    <t>Ulica Vjekoslava Heinzela 44, Zagreb</t>
  </si>
  <si>
    <t>IVAGO D.O.O.</t>
  </si>
  <si>
    <t>Bulvanova 18, Zagreb</t>
  </si>
  <si>
    <t>PARTNER LOGISTICS d.o.o.</t>
  </si>
  <si>
    <t>Ulica Milana Amruša 10, Zagreb</t>
  </si>
  <si>
    <t>dar djeci</t>
  </si>
  <si>
    <t>SPAZ d.o.o.</t>
  </si>
  <si>
    <t>Fallerovo Šetalište 22, Zagreb</t>
  </si>
  <si>
    <t>OMNIMERKUR D.O.O.</t>
  </si>
  <si>
    <t>Gornjostupnička ulica 1B, Gornji Stupnik</t>
  </si>
  <si>
    <t>SIJ RAVNE SYSTEMS d.o.o.</t>
  </si>
  <si>
    <t>Koroška cesta 14, Slovenija</t>
  </si>
  <si>
    <t>SI75949504</t>
  </si>
  <si>
    <t>HIDROPNEUMATIKA d.o.o.</t>
  </si>
  <si>
    <t>Gornje Psarjevo 16/B, Sveti Ivan Zelina</t>
  </si>
  <si>
    <t>HABERKORN d.o.o.</t>
  </si>
  <si>
    <t>Franje Tuđmana 16, Sveta Nedjelja</t>
  </si>
  <si>
    <t>SI15409554</t>
  </si>
  <si>
    <t>BREZINA 102, Slovenija</t>
  </si>
  <si>
    <t>SI27106870</t>
  </si>
  <si>
    <t>ODVJETNIČKO DRUŠTVO KOS &amp; PARTNERI j.t.d.</t>
  </si>
  <si>
    <t>odvjetničke usluge</t>
  </si>
  <si>
    <t>Ulica Natka Nodila 1, Zagreb</t>
  </si>
  <si>
    <t>PETER OFNER GMBH</t>
  </si>
  <si>
    <t>INDUSTRIESTRASSE 336, Austrija</t>
  </si>
  <si>
    <t>ATU50204700</t>
  </si>
  <si>
    <t>EL-ZAP d.o.o.</t>
  </si>
  <si>
    <t>Ulica Augusta Šenoe 43, Zaprešić</t>
  </si>
  <si>
    <t>Alpska cesta 43. 4248 LESCE. Slovenija</t>
  </si>
  <si>
    <t>TIO PNEVMATIKA d.o.o.</t>
  </si>
  <si>
    <t>SI28577132</t>
  </si>
  <si>
    <t>TEXTILE CARE SERVICES d.o.o.</t>
  </si>
  <si>
    <t>Ulica Ivana Lackovića Croate 10, Odra</t>
  </si>
  <si>
    <t>00232292406</t>
  </si>
  <si>
    <t>DEUTA-WERKE GmbH</t>
  </si>
  <si>
    <t>PAFFRATHER STRASSE 140, Njemačka</t>
  </si>
  <si>
    <t>DE265417448</t>
  </si>
  <si>
    <t>TREA TRADE d.o.o.</t>
  </si>
  <si>
    <t>Marinići, Blažići 2A, Viškovo</t>
  </si>
  <si>
    <t>trošak carinskog zastupanja</t>
  </si>
  <si>
    <t>EXTEH d.o.o.</t>
  </si>
  <si>
    <t>Stubička ulica 195, Jablanovec</t>
  </si>
  <si>
    <t>TAPESS d. o. o.</t>
  </si>
  <si>
    <t>Kukuljanovo 336, Kukuljanovo</t>
  </si>
  <si>
    <t>ALTOCOMM d.o.o.</t>
  </si>
  <si>
    <t>Hrelićka ulica 10/1, Zagreb</t>
  </si>
  <si>
    <t>Margaretska 3, Zagreb</t>
  </si>
  <si>
    <t>TOKIĆ D.D.</t>
  </si>
  <si>
    <t>DUPLICO d.o.o.</t>
  </si>
  <si>
    <t>Svetonedeljska cesta 18, Kalinovica</t>
  </si>
  <si>
    <t>TINEX &amp; BELL d.o.o.</t>
  </si>
  <si>
    <t>Poslovna cona B 20, Šenčur, Slovenija</t>
  </si>
  <si>
    <t>ALSTOM TRANSPORTATION GERMANY GmbH</t>
  </si>
  <si>
    <t>DE811928847</t>
  </si>
  <si>
    <t>Am Rathenaupark 1,Hennigsdorf, Njemačka</t>
  </si>
  <si>
    <t>K7 D.O.O.</t>
  </si>
  <si>
    <t>Ulica Kračina 8, Bartolovec</t>
  </si>
  <si>
    <t>Gostionica "TRI LOVCA" vl. Milan Reljić</t>
  </si>
  <si>
    <t>4. gardijske 32, Knin</t>
  </si>
  <si>
    <t>MAG SISTEM d.o.o.</t>
  </si>
  <si>
    <t>Put Brižina 19, Kaštel Sućurac</t>
  </si>
  <si>
    <t>GRAĐA D.D. SOLIN</t>
  </si>
  <si>
    <t>Vranjički put 2, Solin</t>
  </si>
  <si>
    <t>KODRA d.o.o.</t>
  </si>
  <si>
    <t>Vrtna ulica 40, Bartolovec</t>
  </si>
  <si>
    <t>ELEKTROREMONT SUBOTICA d.o.o.</t>
  </si>
  <si>
    <t>IVANA MEŠTROVIĆA 2, Subotica, Srbija</t>
  </si>
  <si>
    <t>SR100843775</t>
  </si>
  <si>
    <t>TROŠENJE SREDSTAVA U SIJEČNJU 2026.</t>
  </si>
  <si>
    <t>EUROPROMET ZAGREB J.D.O.O.</t>
  </si>
  <si>
    <t>Žuti breg 93, Zagreb</t>
  </si>
  <si>
    <t>MEĐIMURKA BS D.O.O.</t>
  </si>
  <si>
    <t>Trg Republike 6, Čakovec</t>
  </si>
  <si>
    <t xml:space="preserve">Ustanova za medicinu rada i sporta TRKULJA </t>
  </si>
  <si>
    <t>FRIGO&amp;CO d.o.o.</t>
  </si>
  <si>
    <t>Gospodarska ulica 29/A, Varaždin</t>
  </si>
  <si>
    <t>VINKOPROM d.o.o</t>
  </si>
  <si>
    <t>Hrvoja Vukčić - Hrvatinića 108, Vinkovci</t>
  </si>
  <si>
    <t xml:space="preserve"> 00721719381</t>
  </si>
  <si>
    <t>HIDRAULIKA-FLEX d.o.o.</t>
  </si>
  <si>
    <t>regres za prethodno razdoblje</t>
  </si>
  <si>
    <t>KONČAR - Motori i električni sustavi d.o.o.</t>
  </si>
  <si>
    <t>Ulica Josipa Mokrovića 8, Zagreb</t>
  </si>
  <si>
    <t>KONČAR DISTRIB. I SPECIJ. TRANSFORMATORI D.D.</t>
  </si>
  <si>
    <t>KOMTEH d.o.o.</t>
  </si>
  <si>
    <t>Ulica Josipa Zorića 39, Dugo Selo</t>
  </si>
  <si>
    <t>"FABOOLA" PROIZVODNI I USLUŽNI OBRT</t>
  </si>
  <si>
    <t>VLAŠKA 103, Zagreb</t>
  </si>
  <si>
    <t>PTMG D.O.O.</t>
  </si>
  <si>
    <t>Gornjostupnička ulica 18, Gornji Stupnik</t>
  </si>
  <si>
    <t>MARKOJA d.o.o.</t>
  </si>
  <si>
    <t>Selska cesta 93, Zagreb</t>
  </si>
  <si>
    <t>Adriatic Zagreb Factoring d.o.o.</t>
  </si>
  <si>
    <t>sirovine i materijal (cesija)</t>
  </si>
  <si>
    <t>Ulica Andrije Žaje 61, Zagreb</t>
  </si>
  <si>
    <t>ZIRS UČILIŠTE - USTANOVA ZA OBRAZOVANJE ODRASLIH d.o.o.</t>
  </si>
  <si>
    <t>Ulica grada Vukovara 68, Zagreb</t>
  </si>
  <si>
    <t>ZF FRIEDRICHSHAFEN AG</t>
  </si>
  <si>
    <t>Löwentaler Str. 20, Friedrichshafen, Njemačka</t>
  </si>
  <si>
    <t>DE145374190</t>
  </si>
  <si>
    <t>Ukupno u siječnju 2026.</t>
  </si>
  <si>
    <t>TROŠENJE SREDSTAVA U VELJAČI 2026.</t>
  </si>
  <si>
    <t>jednokratna pomoć - dugotrajno bolovanje</t>
  </si>
  <si>
    <t>HRVATSKE VODE</t>
  </si>
  <si>
    <t>Ulica Grada Vukovara 220, Zagreb</t>
  </si>
  <si>
    <t>naknada za zaštitu voda po rješenju</t>
  </si>
  <si>
    <t>CROWE KONZALTING D.O.O.</t>
  </si>
  <si>
    <t>06856126190</t>
  </si>
  <si>
    <t>Ulica Petra Hektorovića 2, Zagreb</t>
  </si>
  <si>
    <t>EKO BLIC, industrijska čišćenja, vl. Dejan Živoder</t>
  </si>
  <si>
    <t>Moslavačka 35/a, Popovača</t>
  </si>
  <si>
    <t>čišćenje separatora</t>
  </si>
  <si>
    <t>Agilus tel d.o.o.</t>
  </si>
  <si>
    <t>Soblinečka 75, Soblinec</t>
  </si>
  <si>
    <t>AIRVA</t>
  </si>
  <si>
    <t>FR42480891381</t>
  </si>
  <si>
    <t>Cargy Pontoise, Francuska</t>
  </si>
  <si>
    <t>Hrvatska radiotelevizija</t>
  </si>
  <si>
    <t>Prisavlje 3, Zagreb</t>
  </si>
  <si>
    <t>HRT-RTV pristojba</t>
  </si>
  <si>
    <t>Z-el d.o.o.</t>
  </si>
  <si>
    <t>Industrijska cesta 28, Sesvete</t>
  </si>
  <si>
    <t>Damir Memić</t>
  </si>
  <si>
    <t>naknada za rođenje djeteta</t>
  </si>
  <si>
    <t>najam kontenjera,kemijski WC, kisik boca</t>
  </si>
  <si>
    <t>Ekotex d.o.o.</t>
  </si>
  <si>
    <t>07941830049</t>
  </si>
  <si>
    <t>Gospodarska 5c, Donji Stupnik</t>
  </si>
  <si>
    <t>najam krpa</t>
  </si>
  <si>
    <t>ČISTOĆA d.o.o.  KARLOVAC</t>
  </si>
  <si>
    <t>Gažanski trg 8, Karlovac</t>
  </si>
  <si>
    <t>ČISTOĆA d.o.o.  VARAŽDIN</t>
  </si>
  <si>
    <t>02371889218</t>
  </si>
  <si>
    <t>Ognjena Price 13, Varaždin</t>
  </si>
  <si>
    <t>ZG.H. d.o.o.  PODR.ČISTOĆA</t>
  </si>
  <si>
    <t>Ulica grada Vukovara 41, Zagreb</t>
  </si>
  <si>
    <t>HZMO - odštetni zahtjev</t>
  </si>
  <si>
    <t>DEBENC PLUS d.o.o.</t>
  </si>
  <si>
    <t>Milutina Barača 54, Rijeka</t>
  </si>
  <si>
    <t>TEHNONORMA d.o.o.</t>
  </si>
  <si>
    <t>Zeleni trg 3A, Zagreb</t>
  </si>
  <si>
    <t>RRIF PLUS d.o.o.</t>
  </si>
  <si>
    <t>Vlaška 68/I, Zagreb</t>
  </si>
  <si>
    <t>troškovi stručnog usavršavanja radnika</t>
  </si>
  <si>
    <t xml:space="preserve">MONY D.O.O. </t>
  </si>
  <si>
    <t>SR125346699</t>
  </si>
  <si>
    <t>Subotica, Srbija</t>
  </si>
  <si>
    <t>BRODSKA TESTIRANJA d.o.o.</t>
  </si>
  <si>
    <t>01345996964</t>
  </si>
  <si>
    <t>Ulica Mirka Viriusa 16, Zagreb</t>
  </si>
  <si>
    <t>SILICA VERFAHRENSTECHNIK GMBH</t>
  </si>
  <si>
    <t>DE811279997</t>
  </si>
  <si>
    <t>Wittestr. 24, Berlin, Njemačka</t>
  </si>
  <si>
    <t>SIRAS D.O.O.</t>
  </si>
  <si>
    <t>Ivanićgradska ulica 56, Zagreb</t>
  </si>
  <si>
    <t>PROM-VIDIJA d.o.o.</t>
  </si>
  <si>
    <t>Novozagrebačka 30, Zagreb</t>
  </si>
  <si>
    <t>KOŽUL d.o.o.</t>
  </si>
  <si>
    <t>Vinogradska cesta 2G, Slavonski Brod</t>
  </si>
  <si>
    <t>Mehaničarsko poljoprivredno trgovački obrt "MEDAKOVIĆ"</t>
  </si>
  <si>
    <t>M. MILANKOVIĆA 23, BRŠADIN</t>
  </si>
  <si>
    <t>HAWE HIDRAVLIKA</t>
  </si>
  <si>
    <t>SI36052957</t>
  </si>
  <si>
    <t>Ob Dragi 7, Štore, Slovenija</t>
  </si>
  <si>
    <t xml:space="preserve">PLATTNER CROATIA d.o.o. </t>
  </si>
  <si>
    <t>Zagrebačka cesta 143A, Zagreb</t>
  </si>
  <si>
    <t>ZAVOD ZA ZAVARIVANJE I TOPLINSKU TEHNOLOGIJU d.o.o</t>
  </si>
  <si>
    <t>03045687053</t>
  </si>
  <si>
    <t>ULICA GRADA VUKOVARA 68, Zagreb</t>
  </si>
  <si>
    <t>DINOP d.o.o.</t>
  </si>
  <si>
    <t>00042324329</t>
  </si>
  <si>
    <t>Prigorska ulica 9, Soblinec</t>
  </si>
  <si>
    <t>Johannes Hubner Fabrik elektrischer Maschinen GmbH</t>
  </si>
  <si>
    <t xml:space="preserve"> DE811187959</t>
  </si>
  <si>
    <t>Siemensstraße 7, Gießen, Njemačka</t>
  </si>
  <si>
    <t>Konoba Trattoria Tinel</t>
  </si>
  <si>
    <t>Tomića stine 1, Split</t>
  </si>
  <si>
    <t>PAN-PEK d.o.o.</t>
  </si>
  <si>
    <t>Planinska ulica 2C, Zagreb</t>
  </si>
  <si>
    <t>TIPTEH ZAGREB d.o.o.</t>
  </si>
  <si>
    <t>Štrokinec 7, Zagreb</t>
  </si>
  <si>
    <t>RH V.D. JAVNOG BILJEŽNIKA IVAN VULJANIĆ</t>
  </si>
  <si>
    <t>00966532199</t>
  </si>
  <si>
    <t>Trg J. F. Kennedya 6b, Zagreb</t>
  </si>
  <si>
    <t>odvjetničke, bilježničke i dr. usluge</t>
  </si>
  <si>
    <t>FEROPROMET D.O.O.</t>
  </si>
  <si>
    <t>SR100243474</t>
  </si>
  <si>
    <t>Industrijska 27, Kraljevo, Srbija</t>
  </si>
  <si>
    <t xml:space="preserve">TEO-BELISCE d.o.o. </t>
  </si>
  <si>
    <t>Radnička 3, Belišće</t>
  </si>
  <si>
    <t>HAMOFA BVBA</t>
  </si>
  <si>
    <t>BE0454570902</t>
  </si>
  <si>
    <t>BEDRIJFSSTRAAT 4, Belgija</t>
  </si>
  <si>
    <t>ULJANIK BRODOGRADNJA 1856 d.o.o.</t>
  </si>
  <si>
    <t>Flaciusova ulica 1, Pula</t>
  </si>
  <si>
    <t>TRACON D.O.O. VARAŽDIN</t>
  </si>
  <si>
    <t>Ulica Ivana Severa 15, Varaždin</t>
  </si>
  <si>
    <t>DOGA S.A.</t>
  </si>
  <si>
    <t>ESA08299893</t>
  </si>
  <si>
    <t>Autovia a-2 km 583, Španjolska</t>
  </si>
  <si>
    <t>EUROMONT INTRO d.o.o.</t>
  </si>
  <si>
    <t>KANALSKI PUT 20, Zagreb</t>
  </si>
  <si>
    <t>tekuće održavanje zgrada</t>
  </si>
  <si>
    <t xml:space="preserve">Inokem d.o.o. </t>
  </si>
  <si>
    <t>Industrijska cesta 12, Ivanić-Grad</t>
  </si>
  <si>
    <t>DACPOL Sp. z o.o.</t>
  </si>
  <si>
    <t xml:space="preserve">PL5210083644 </t>
  </si>
  <si>
    <t>ul. Puławska 34, Varšava, Poljska</t>
  </si>
  <si>
    <t>Ziehl-Abegg Ges.m.b.H</t>
  </si>
  <si>
    <t>ATU23287208</t>
  </si>
  <si>
    <t>Prinz-Eugen-Strasse 19, Linz, Austrija</t>
  </si>
  <si>
    <t>MAKROMIKRO GRUPA d.o.o.</t>
  </si>
  <si>
    <t>Vukomerička ulica 6, Velika Gorica</t>
  </si>
  <si>
    <t>CWG d.o.o.</t>
  </si>
  <si>
    <t>Braće Radića 132, Mraclin</t>
  </si>
  <si>
    <t>osnovno sredstvo</t>
  </si>
  <si>
    <t>ZAŠTITA  ATEST d.o.o.</t>
  </si>
  <si>
    <t>Bani 75, Zagreb</t>
  </si>
  <si>
    <t>zaštita na radu</t>
  </si>
  <si>
    <t>KRUNO PROJEKT d.o.o. za usluge</t>
  </si>
  <si>
    <t>Ulica bana Josipa Jelačića 2, Samobor</t>
  </si>
  <si>
    <t>tekuće održavanje kotlovnice</t>
  </si>
  <si>
    <t>IBC GmbH</t>
  </si>
  <si>
    <t>ATU49961705</t>
  </si>
  <si>
    <t>Percostr. 31, Wien, Austrija</t>
  </si>
  <si>
    <t>VODOVOD OSIJEK d.o.o.</t>
  </si>
  <si>
    <t>Poljski Put 1, Osijek</t>
  </si>
  <si>
    <t>LUX METAL j.d.o.o.</t>
  </si>
  <si>
    <t>Marka Ćaćića 2, Kovačić</t>
  </si>
  <si>
    <t>SAVEZ ZA ŽELJEZNICU</t>
  </si>
  <si>
    <t>Trnjanska 11F, Zagreb</t>
  </si>
  <si>
    <t>članarine udruženjima</t>
  </si>
  <si>
    <t>MUNJEL obrt za prozvodnju, vl. Hrvoje Hrkac</t>
  </si>
  <si>
    <t>Ul. Nikole Šubića Zrinskog 12A, Samobor</t>
  </si>
  <si>
    <t>DOMATO LD d.o.o.</t>
  </si>
  <si>
    <t>Ulica grada Chicaga 22, Zagreb</t>
  </si>
  <si>
    <t>OBRT MALI IVICA, VL. IVICA DEVČIĆ</t>
  </si>
  <si>
    <t>ŽABORIČKA 21, Šibenik</t>
  </si>
  <si>
    <t>PAN-PROM d.o.o.</t>
  </si>
  <si>
    <t>Petina 29A, Petina</t>
  </si>
  <si>
    <t>GRAFIČKI OBRT STUDIO P</t>
  </si>
  <si>
    <t>Čakovečka 84, Nedelišće</t>
  </si>
  <si>
    <t>TRGOMETAL d.o.o.</t>
  </si>
  <si>
    <t>Industrijska ulica 13, Žminj</t>
  </si>
  <si>
    <t>BMB LAB d.o.o.</t>
  </si>
  <si>
    <t>Čulinečka cesta 87, Zagreb</t>
  </si>
  <si>
    <t>OKRETNI MOMENT d.o.o.</t>
  </si>
  <si>
    <t>Cenkovečka ulica 1, Zagreb</t>
  </si>
  <si>
    <t>GEGI d.o.o.</t>
  </si>
  <si>
    <t>06024542975</t>
  </si>
  <si>
    <t>Ledenički odvojak 2/A, Zagreb</t>
  </si>
  <si>
    <t>AUREL d.o.o.</t>
  </si>
  <si>
    <t>Borongajska cesta 81B/ 2 , Zagreb</t>
  </si>
  <si>
    <t>tekuće održavanje kotlovnica</t>
  </si>
  <si>
    <t>SAFIR d.o.o. za trgovinu i usluge</t>
  </si>
  <si>
    <t>Horvaćanska cesta 17, Zagreb</t>
  </si>
  <si>
    <t>AUTOLIMARIJA JURAIĆ Vl. Alen Juraić</t>
  </si>
  <si>
    <t>Gornja Jelsa 14, Karlovac</t>
  </si>
  <si>
    <t>IN AUTOMATIKA D.O.O.</t>
  </si>
  <si>
    <t>05793648226</t>
  </si>
  <si>
    <t>Vlade Gotovca 21, Zagreb</t>
  </si>
  <si>
    <t>ADRIA-TRGOVINA-ZAGREB d.o.o.</t>
  </si>
  <si>
    <t>Ulica grada Vukovara 222, Zagreb</t>
  </si>
  <si>
    <t>BEDIA Motorentechnik GmbH &amp; Co.KG</t>
  </si>
  <si>
    <t>DE814232070</t>
  </si>
  <si>
    <t>Gewerbepark an der A6, Njemačka</t>
  </si>
  <si>
    <t>HANZA MEDIA D.O.O.</t>
  </si>
  <si>
    <t>Koranska ulica 2,Zagreb</t>
  </si>
  <si>
    <t>ENSOLX ENERGIJA d.o.o.</t>
  </si>
  <si>
    <t>Ulica Andrije Hebranga 30, Zagreb</t>
  </si>
  <si>
    <t>BLISTA PROIZVODNJA d.o.o.</t>
  </si>
  <si>
    <t>00621691211</t>
  </si>
  <si>
    <t>Hrvace 416, Hrvace</t>
  </si>
  <si>
    <t>EUROSIGMA D.O.O.</t>
  </si>
  <si>
    <t>Radnička cesta 177, Zagreb</t>
  </si>
  <si>
    <t>BTR KOMPRESOR d.o.o.</t>
  </si>
  <si>
    <t>Štefanjska ulica 13, Donji Stupnik</t>
  </si>
  <si>
    <t>zbrinjavanje tehnološkog otpada</t>
  </si>
  <si>
    <t>POLI-FER d.o.o.</t>
  </si>
  <si>
    <t>Brdovečka ulica 17, Zaprešić</t>
  </si>
  <si>
    <t>KOMUNALNO ODRŽAVANJE d.o.o.</t>
  </si>
  <si>
    <t>Trg kralja Tomislava 7, Ploče</t>
  </si>
  <si>
    <t>SERVIKOM KOMPRESORJI d.o.o.</t>
  </si>
  <si>
    <t>SI21550310</t>
  </si>
  <si>
    <t>Višnja Gora, Slovenija</t>
  </si>
  <si>
    <t>INDUSTROOPREMA d.o.o</t>
  </si>
  <si>
    <t>01291306683</t>
  </si>
  <si>
    <t>Rimski put 11 K, Sesvete</t>
  </si>
  <si>
    <t>KOMUNALNO - ZABOK  d.o.o.</t>
  </si>
  <si>
    <t>Zivtov trg 3, Zabok</t>
  </si>
  <si>
    <t>LUMARO PROJEKT d.o.o.</t>
  </si>
  <si>
    <t>Gornjostupnička ulica 1B, Zagreb</t>
  </si>
  <si>
    <t>GORICA STAKLO d.o.o.</t>
  </si>
  <si>
    <t>Sisačka 43, Velika Gorica</t>
  </si>
  <si>
    <t>ostale proizvodne usluge</t>
  </si>
  <si>
    <t>ĐURO ĐAKOVIC STROJNA OBRADA d.o.o.</t>
  </si>
  <si>
    <t>DOM ZDRAVLJA ZAGREB-CENTAR</t>
  </si>
  <si>
    <t>00053084642</t>
  </si>
  <si>
    <t>Ulica Josipa Runjanina 4, Zagreb</t>
  </si>
  <si>
    <t>KEMOBOJA-DUBRAVA d.o.o.</t>
  </si>
  <si>
    <t>Dubrava 37, Zagreb</t>
  </si>
  <si>
    <t>OTIS DIZALA D.O.O.</t>
  </si>
  <si>
    <t>Prilaz Vladislava Brajkovića 15, Zagreb</t>
  </si>
  <si>
    <t>M.B. AUTO d.o.o. za trgovinu i usluge,</t>
  </si>
  <si>
    <t>Koledovčina 8, Zagreb</t>
  </si>
  <si>
    <t>METROTEKA d.o.o.</t>
  </si>
  <si>
    <t>Ulica Kreše Golika 3, Zagreb</t>
  </si>
  <si>
    <t>MAČEK TVORNICA VIJAKA ZAGREB d.o.o.</t>
  </si>
  <si>
    <t>Ulica Milana Ogrizovića 41, Zagreb</t>
  </si>
  <si>
    <t>SCHUNK CARBON TECHNOLOGY GMBH</t>
  </si>
  <si>
    <t xml:space="preserve"> ATU21882906</t>
  </si>
  <si>
    <t>Au 62, Bad Goisern, Austrija</t>
  </si>
  <si>
    <t>ŠVENDA-TARMANN CHEMIE d.o.o.</t>
  </si>
  <si>
    <t>Glavna ulica 138, Prelog</t>
  </si>
  <si>
    <t>RAPTOR FLEET d.o.o.</t>
  </si>
  <si>
    <t>Gospodarska ulica 18C, Stupnik</t>
  </si>
  <si>
    <t>usluge praćenja službenih vozila</t>
  </si>
  <si>
    <t>ČISTOĆA d.o.o.  SPLIT</t>
  </si>
  <si>
    <t>Put Mostina 49, Split</t>
  </si>
  <si>
    <t>STAMBENO KOMUNALNO GOSPODARSTVO D.O.O.</t>
  </si>
  <si>
    <t>IVANA GORANA KOVAČIĆA 8; OGULIN</t>
  </si>
  <si>
    <t>KOVINTRADE HRVATSKA d.o.o.</t>
  </si>
  <si>
    <t>Ljudevita Posavskog 29, Sesvete</t>
  </si>
  <si>
    <t>PIK-AS Austria GmbH</t>
  </si>
  <si>
    <t>ATU73996036</t>
  </si>
  <si>
    <t>Mariasdorf 140a, Austrija</t>
  </si>
  <si>
    <t>CENTAR ZA VOZILA HRVATSKE, D.D.</t>
  </si>
  <si>
    <t>ZAVOD ZA JAVNO ZDRAVSTVO ŠIBENSKE ŽUP</t>
  </si>
  <si>
    <t>Matije Gupca 74, Šibenik</t>
  </si>
  <si>
    <t>HRT-Šarić d.o.o.</t>
  </si>
  <si>
    <t>Zagrebačka ulica 217, Dugo Selo</t>
  </si>
  <si>
    <t>ALMA CAREER CROATIA d.o.o.</t>
  </si>
  <si>
    <t>Strojarska cesta 20, Zagreb</t>
  </si>
  <si>
    <t>GUMIIMPEX-GRP d.o.o.</t>
  </si>
  <si>
    <t>Mihovila Pavleka Miškine 64C, Varaždin</t>
  </si>
  <si>
    <t>KONČAR - INEM D.O.O.</t>
  </si>
  <si>
    <t>INEL d.o.o.</t>
  </si>
  <si>
    <t>Stinice 19A, Split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</si>
  <si>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</si>
  <si>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</si>
  <si>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</si>
  <si>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</si>
  <si>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</si>
  <si>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 xml:space="preserve">VEK obrt za proizvodnju vl. Daniel Klasnić </t>
  </si>
  <si>
    <t>Mlinovac 1, Bjelovar</t>
  </si>
  <si>
    <t xml:space="preserve">EMKA OKOVI d.o.o. </t>
  </si>
  <si>
    <t>Branimirova ulica 64, Slavonski Brod</t>
  </si>
  <si>
    <t>Ukupno u veljači 2026.</t>
  </si>
  <si>
    <t>TROŠENJE SREDSTAVA U OŽUJKU 2026.</t>
  </si>
  <si>
    <t>ALATOS D.O.O.</t>
  </si>
  <si>
    <t>Matije Gupca 36C, Josipovac</t>
  </si>
  <si>
    <t>dar u naravi</t>
  </si>
  <si>
    <t>ABC maziva d.o.o.</t>
  </si>
  <si>
    <t>Lopatinečka 7, Zagreb</t>
  </si>
  <si>
    <t>MAMB, obrt za prijevoz i usluge</t>
  </si>
  <si>
    <t>Fra L. Vladimirovića 10, Ploče</t>
  </si>
  <si>
    <t>IVERO d.o.o.</t>
  </si>
  <si>
    <t>Planinska ulica 13, Sesvete</t>
  </si>
  <si>
    <t>UNIMAR RIJEKA d.o.o.</t>
  </si>
  <si>
    <t>Preluk 6a, Rijeka</t>
  </si>
  <si>
    <t>Secheron Hasler CZ, spol. s r.o.</t>
  </si>
  <si>
    <t>CZ45796211</t>
  </si>
  <si>
    <t>Podnikatelská 556, Prag, Češka</t>
  </si>
  <si>
    <t>AUTO-MAG D.O.O.</t>
  </si>
  <si>
    <t>Gornjostupnička ulica 1D, Gornji Stupnik</t>
  </si>
  <si>
    <t>˝G.T.B.˝</t>
  </si>
  <si>
    <t>Veliko Korenovo 6, Bjelovar</t>
  </si>
  <si>
    <t>ZAGREBAČKI EKOLOŠ. SANITAC. HIGIJEN. SERVIS d.o.o.</t>
  </si>
  <si>
    <t>Kustošijanska ulica 8, Zagreb</t>
  </si>
  <si>
    <t>deratizacija</t>
  </si>
  <si>
    <t>HŽ Cargo d.o.o.ZAGREB</t>
  </si>
  <si>
    <t>08720210702</t>
  </si>
  <si>
    <t>Ulica Vjekoslava Heinzela 51, Zagreb</t>
  </si>
  <si>
    <t>MAVRO INTERNATIONAL BV</t>
  </si>
  <si>
    <t>NL806334356B01</t>
  </si>
  <si>
    <t>Zaltbommel, Nizozemska</t>
  </si>
  <si>
    <t>SCHRACK TECHNIK d.o.o.</t>
  </si>
  <si>
    <t>Zavrtnica 17, Zagreb</t>
  </si>
  <si>
    <t>PLETER - USLUGE d.o.o.</t>
  </si>
  <si>
    <t>Čerinina ulica 23, Zagreb</t>
  </si>
  <si>
    <t>SIPAS GALDOVO d.o.o.</t>
  </si>
  <si>
    <t>03122118779</t>
  </si>
  <si>
    <t>Galdovačka ulica 4, Sisak</t>
  </si>
  <si>
    <t>MB ALATI D.O.O.</t>
  </si>
  <si>
    <t>Ulica kralja Tomislava 30, Oroslavje</t>
  </si>
  <si>
    <t>MONARIS D.O.O.</t>
  </si>
  <si>
    <t>Ulica Matije Gupca 31, Gornja Stubica</t>
  </si>
  <si>
    <t>EURODOM TRGOVINA D.O.O.</t>
  </si>
  <si>
    <t>Lovretska 18, Split</t>
  </si>
  <si>
    <t>AS METAL VL. SARAČEVIĆ AMIR</t>
  </si>
  <si>
    <t>Ulica Limido dele Roje 4, Galižana</t>
  </si>
  <si>
    <t>MAG COMMERCE d.o.o.</t>
  </si>
  <si>
    <t>Maršala Tita 6, Šenkovec</t>
  </si>
  <si>
    <t>AUGUSTINOVIĆ-TGP D.O.O.</t>
  </si>
  <si>
    <t xml:space="preserve"> 08575099734</t>
  </si>
  <si>
    <t>Čučerska cesta 2, Zagreb</t>
  </si>
  <si>
    <t>čišćenje kanalizacijskih sustava</t>
  </si>
  <si>
    <t>SAVEZ ENERGETIČARA HRVATSKE</t>
  </si>
  <si>
    <t xml:space="preserve">Ilica 34/I, 10000 </t>
  </si>
  <si>
    <t>ELEKTRON ERMA-STRMEC d.o.o.</t>
  </si>
  <si>
    <t>STUBIČKI STRMEC 182, Stubičke toplice</t>
  </si>
  <si>
    <t>FALA, obrt za auto usluge i hoteljerstvo</t>
  </si>
  <si>
    <t xml:space="preserve"> 06308159449</t>
  </si>
  <si>
    <t>II TRNJANSKE LEDINE 18, ZAGREB</t>
  </si>
  <si>
    <t>ELMARK GRUPA D.O.O.</t>
  </si>
  <si>
    <t>Ventilatorska 20, Zagreb</t>
  </si>
  <si>
    <t>MEĐIMURJE-PLIN d.o.o.</t>
  </si>
  <si>
    <t>CONRAD ELECTRONIC d.o.o. k.d.</t>
  </si>
  <si>
    <t>SI42992093253</t>
  </si>
  <si>
    <t>Ljubljanska cesta 66, Grosuplje, Slovenija</t>
  </si>
  <si>
    <t>uskrsnica</t>
  </si>
  <si>
    <t>EURO BUS  d.o.o.</t>
  </si>
  <si>
    <t>Veli Kijec 2, Omišalj</t>
  </si>
  <si>
    <t>FRIGO-KOR d.o.o.</t>
  </si>
  <si>
    <t>Majstorska 11, Zagreb</t>
  </si>
  <si>
    <t>SAGENA INFORMATIČKI INŽENJERING D.O.O.</t>
  </si>
  <si>
    <t>Donje Svetice 46C, Zagreb</t>
  </si>
  <si>
    <t>ALFA TIM d.o.o.</t>
  </si>
  <si>
    <t>Čulinečka Cesta 25, Zagreb</t>
  </si>
  <si>
    <t>NOVOCOMMERCE INTERNATIONAL d.o.o</t>
  </si>
  <si>
    <t>Ulica jablanova 16, Osijek</t>
  </si>
  <si>
    <t>KIMATEKS d.o.o.</t>
  </si>
  <si>
    <t>Kostanjek 12, Zagreb</t>
  </si>
  <si>
    <t>DOM ZDRAVLJA PRIMORSKO-GORANSKE ŽUPANIJE ISPOSTAVA RIJEKA</t>
  </si>
  <si>
    <t>Krešimirova 52a, Rijeka</t>
  </si>
  <si>
    <t xml:space="preserve">STAMBENO KOMUNALNO GOSPODARSTVO D.O.O. </t>
  </si>
  <si>
    <t xml:space="preserve">LOST d.o.o. </t>
  </si>
  <si>
    <t>Ulica Kreše Golika 7, Zagreb</t>
  </si>
  <si>
    <t>Ukupno u ožujku 2026.</t>
  </si>
  <si>
    <t>MV AUTOMATION SYSTEMS GMBH</t>
  </si>
  <si>
    <t>DE141033502</t>
  </si>
  <si>
    <t>AM GEWERBEPARK 14, Njemačka</t>
  </si>
  <si>
    <t>Rubber Design B.V.</t>
  </si>
  <si>
    <t>NL005237130B01</t>
  </si>
  <si>
    <t>Industrieweg 21, Heerjansdam, Nizozemska</t>
  </si>
  <si>
    <t>TRIGLAV OSIGURANJE d.d.</t>
  </si>
  <si>
    <t>Ulica Antuna Heinza 4, Zagreb</t>
  </si>
  <si>
    <t>premije osiguranja osoba i imovine</t>
  </si>
  <si>
    <t>SENSOR d.o.o.</t>
  </si>
  <si>
    <t>SI95826793</t>
  </si>
  <si>
    <t>Prevorškova ulica 8,  Maribor, Slovenija</t>
  </si>
  <si>
    <t>AUTO HRVATSKA AUTOMOBILI d.o.o.</t>
  </si>
  <si>
    <t>Radnička cesta 182A, Zagreb</t>
  </si>
  <si>
    <t>ALATI MILIĆ d.o.o.</t>
  </si>
  <si>
    <t>Ulica Mirka Viriusa 2, Zagreb</t>
  </si>
  <si>
    <t>CUMMINS ADRIATIC d.o.o.</t>
  </si>
  <si>
    <t>Ulica kraljice Jelene 15, Dugopolje</t>
  </si>
  <si>
    <t>DIGITALNI TAHOGRAF d.o.o.</t>
  </si>
  <si>
    <t>Ventilatorska cesta 8A, Lučko</t>
  </si>
  <si>
    <t>INDUSTRIJSKA PNEUMATIKA d.o.o.</t>
  </si>
  <si>
    <t>Prudi 24, Zagreb</t>
  </si>
  <si>
    <t>TEMPORIS SAVJETOVANJE D.O.O.</t>
  </si>
  <si>
    <t>Lopatinečka ulica 4, Zagreb</t>
  </si>
  <si>
    <t>troškovi usavršavanja radnika</t>
  </si>
  <si>
    <t>DELECTO d.o.o.</t>
  </si>
  <si>
    <t>Vukovarska cesta 239C, Nemetin</t>
  </si>
  <si>
    <t>LAGRO d.o.o.</t>
  </si>
  <si>
    <t>Zalužje 42, Vinkovci</t>
  </si>
  <si>
    <t>INTEL-ING d.o.o. Vl. ROBERT PLOHL</t>
  </si>
  <si>
    <t>Ulica Andrije Hebranga 21, Zadar</t>
  </si>
  <si>
    <t>ANDIVI d.o.o.</t>
  </si>
  <si>
    <t>SI12053961</t>
  </si>
  <si>
    <t>Zagrebška cesta 102, Maribor, Slovenija</t>
  </si>
  <si>
    <t>KLIMA USLUGE d.o.o.</t>
  </si>
  <si>
    <t>Ulica Karla Metikoša 9, Zagreb</t>
  </si>
  <si>
    <t>POLI-MIX d.o.o.</t>
  </si>
  <si>
    <t>Šapjane 73, Šapjane</t>
  </si>
  <si>
    <t>INTERMONT 2 d.o.o.</t>
  </si>
  <si>
    <t>I. Pavla II. 3A, Kaštel Sućurac</t>
  </si>
  <si>
    <t>MICOM ELEKTRONIKA d.o.o.</t>
  </si>
  <si>
    <t>Samoborska cesta 85A, Zagreb</t>
  </si>
  <si>
    <t>DECIBEL, Vl. Ivan Hrženjak</t>
  </si>
  <si>
    <t>Svetog Petra 14, Trogir</t>
  </si>
  <si>
    <t>VMV SZABO d.o.o.</t>
  </si>
  <si>
    <t>Karlovačka cesta 4/H, Zagreb</t>
  </si>
  <si>
    <t>VIJCI KRANJEC</t>
  </si>
  <si>
    <t>ULICA GRADA VUKOVARA 3, ZAGREB</t>
  </si>
  <si>
    <t>T.T.T. d.o.o.</t>
  </si>
  <si>
    <t>Novaki, Industrijski odvojak 8, Sv.Nedjelja</t>
  </si>
  <si>
    <t>OPREMA POD TLAKOM d.o.o.</t>
  </si>
  <si>
    <t>07435417708</t>
  </si>
  <si>
    <t>Ulica kneza Branimira 22, Zagreb</t>
  </si>
  <si>
    <t>tek.održavanje kotlovnica, plinskih instalacija</t>
  </si>
  <si>
    <t>NOVOLINE DARUVAR d.o.o.</t>
  </si>
  <si>
    <t>Podborska 4/A, Daruvar</t>
  </si>
  <si>
    <t>AQUA KEM d.o.o.</t>
  </si>
  <si>
    <t>Ulica Ante Mike Tripala 1, Zagreb</t>
  </si>
  <si>
    <t>VODOMATERIJAL d.d.</t>
  </si>
  <si>
    <t>Sajmište 174, Vukovar</t>
  </si>
  <si>
    <t>S-COLOR d.o.o.</t>
  </si>
  <si>
    <t>02702863174</t>
  </si>
  <si>
    <t>Ulica Katarine Zrinski 3, Varaždin</t>
  </si>
  <si>
    <t>Auto centar Vukojević</t>
  </si>
  <si>
    <t>KRALJA ZVONIMIRA 202, vinkovci</t>
  </si>
  <si>
    <t>SIGA d.o.o.</t>
  </si>
  <si>
    <t>Međimurska ulica 12, Varaždin</t>
  </si>
  <si>
    <t>Vinogradska cesta 2G, Slavonski Brod.</t>
  </si>
  <si>
    <t>KAESER KOMPRESSOREN trgovina i usluge d. o. o.</t>
  </si>
  <si>
    <t>Rimski put 11D, Sesvete</t>
  </si>
  <si>
    <t>MOVE Fahrzeugsitze GmbH</t>
  </si>
  <si>
    <t>DE162417578</t>
  </si>
  <si>
    <t>Gustav-Walter-Strasse 5, Njemačka</t>
  </si>
  <si>
    <t>ADRIATIC OSIGURANJE D.D.</t>
  </si>
  <si>
    <t>Listopadska ulica 2, Zagreb</t>
  </si>
  <si>
    <t>PURIĆ d.o.o.</t>
  </si>
  <si>
    <t>Ulica Andrije Hebranga 54, Samobor</t>
  </si>
  <si>
    <t>Institut za medicinska istraživanja i medicinu rada</t>
  </si>
  <si>
    <t>Ksaverska cesta 2, Zagreb</t>
  </si>
  <si>
    <t xml:space="preserve">MORLAK d.o.o. </t>
  </si>
  <si>
    <t>TROŠENJE SREDSTAVA U TRAVNJU 2026.</t>
  </si>
  <si>
    <t>THOLOS INVEST d.o.o. ARTENA HOTEL</t>
  </si>
  <si>
    <t>Valturska ulica - Via Altura 12, Pula</t>
  </si>
  <si>
    <t>nagrade za radne rezultate</t>
  </si>
  <si>
    <t>MENDIS-PROJEKT  D.O.O.</t>
  </si>
  <si>
    <t>Toplička cesta 27, Jakovlje</t>
  </si>
  <si>
    <t>ELVOD D.O.O.</t>
  </si>
  <si>
    <t>SR101458794</t>
  </si>
  <si>
    <t>Beogradska 67, Kragujevac, Srbija</t>
  </si>
  <si>
    <t>ELEKTRO-PRELOG d.o.o.</t>
  </si>
  <si>
    <t>Ulica kneza Borne 24, Zagreb</t>
  </si>
  <si>
    <t>EL-GRI d.o.o.</t>
  </si>
  <si>
    <t>Ulica grada Mainza 6, Zagreb</t>
  </si>
  <si>
    <t>HORVAT d.o.o.</t>
  </si>
  <si>
    <t>Stjepana Radića 122, Sirač</t>
  </si>
  <si>
    <t>ZEL-COS d.o.o.</t>
  </si>
  <si>
    <t xml:space="preserve">07306591551 </t>
  </si>
  <si>
    <t>Nova cesta 166, Zagreb</t>
  </si>
  <si>
    <t>TAHOGRAF D.O.O.</t>
  </si>
  <si>
    <t>Dr. Franje Tuđmana 24, Sveta Nedjelja</t>
  </si>
  <si>
    <t>SAVEZ ENERGETIČARA PRIMORSKO-GORANSKE ŽUPANIJE</t>
  </si>
  <si>
    <t>Petra Kobeka 15, Rijeka</t>
  </si>
  <si>
    <t>ODVJETNIČKO DRUŠTVO SMOLČIĆ I PARTNERI d.o.o.</t>
  </si>
  <si>
    <t>Jurišićeva ulica 23, Zagreb</t>
  </si>
  <si>
    <t>Secheron Hasler Italia S.r.l.</t>
  </si>
  <si>
    <t>IT02271980225</t>
  </si>
  <si>
    <t>Viale Postumia 58/c, Verona, Italija</t>
  </si>
  <si>
    <t>VICTORY HYDRAULIC PUMP MANUFACTURING LTD</t>
  </si>
  <si>
    <t>WU XIANG ROAD; NINGBO, Kina</t>
  </si>
  <si>
    <t>KUHLER-RATH KG</t>
  </si>
  <si>
    <t>DE149793194</t>
  </si>
  <si>
    <t>HERZOGENBUSHER STR. 1, Njemačka</t>
  </si>
  <si>
    <t>"METAL D.A.S." - TOKARSKI OBRT, VL. DANIJEL ŠKRAPEC</t>
  </si>
  <si>
    <t>VLADIMIRA GORTANA 15, STRMEC</t>
  </si>
  <si>
    <t>RECA d.o.o.</t>
  </si>
  <si>
    <t>Ulica Ivane Brlić-Mažuranić 17, Varaždin</t>
  </si>
  <si>
    <t>INTER CARS d.o.o.</t>
  </si>
  <si>
    <t>Ulica Francesca Tenchinija 2A, Zagreb</t>
  </si>
  <si>
    <t>0981494061</t>
  </si>
  <si>
    <t xml:space="preserve">TITAN-ZAGREB d.o.o. </t>
  </si>
  <si>
    <t>Kovinska ulica 27, Zagreb</t>
  </si>
  <si>
    <t>Wald Antriebe GmbH</t>
  </si>
  <si>
    <t>DE213030640</t>
  </si>
  <si>
    <t>Hanns-Hoerbiger-Straße 1, Njemačka</t>
  </si>
  <si>
    <t>VAL-INT d.o.o.</t>
  </si>
  <si>
    <t>Dr. Franje Tuđmana 59, Sveta Nedjelja</t>
  </si>
  <si>
    <t>HIDROPNEUMAT d.o.o.</t>
  </si>
  <si>
    <t>Ludbreška ulica 80, Trnovec</t>
  </si>
  <si>
    <t>CONTY PLUS D.O.O.</t>
  </si>
  <si>
    <t>Karlovačka 100, Lučko</t>
  </si>
  <si>
    <t>OBITELJSKI HOTELI D.O.O - Hotel Sliško</t>
  </si>
  <si>
    <t>Bunićeva 7, Zagreb</t>
  </si>
  <si>
    <t>PRIMA FILTERTEHNIKA d.o.o.</t>
  </si>
  <si>
    <t>SI17849438</t>
  </si>
  <si>
    <t>Sora 42A,Medvode, Slovenija</t>
  </si>
  <si>
    <t>Automehaničarski obrt "SOVA"</t>
  </si>
  <si>
    <t>4. GBR BB, Knin</t>
  </si>
  <si>
    <t>ANTIN GAJ, TRGOVAČKO UGOSTITELJSKI OBRT</t>
  </si>
  <si>
    <t>Ulica kneza Branimira 67, Zagreb</t>
  </si>
  <si>
    <t>LJEKARNE LUKAČIN Ljekarnička jedinica 3</t>
  </si>
  <si>
    <t>Markuševečka Cesta 185, Zagreb</t>
  </si>
  <si>
    <t>NOVOTECH d.o.o. za trg i usluge</t>
  </si>
  <si>
    <t>Ulica grada Wirgesa 10/9, Samobor</t>
  </si>
  <si>
    <t>BITSOFT d.o.o.</t>
  </si>
  <si>
    <t>Ulica hrv. narodnog preporoda 35,Sisak</t>
  </si>
  <si>
    <t>naknada za korištenje OKFŠ</t>
  </si>
  <si>
    <t>TOKIC D.D.</t>
  </si>
  <si>
    <t>ITPP ZAGREB D.O.O.</t>
  </si>
  <si>
    <t>Zubovačka ulica 7, Zagreb</t>
  </si>
  <si>
    <t>TERRAKOM d.o.o.</t>
  </si>
  <si>
    <t>Ulica Ivice Drmića 10, Zagreb</t>
  </si>
  <si>
    <t>IN TIME d.o.o.</t>
  </si>
  <si>
    <t>Velika cesta 78, Zagreb</t>
  </si>
  <si>
    <t>carinsko posredovanje</t>
  </si>
  <si>
    <t>MAN IMPORTER HRVATSKA d.o.o.</t>
  </si>
  <si>
    <t xml:space="preserve"> 07719493783</t>
  </si>
  <si>
    <t>Zastavnice 25 c, Hrvatski Leskovac</t>
  </si>
  <si>
    <t>EUROMAINT RAIL AB</t>
  </si>
  <si>
    <t>SE559163088301</t>
  </si>
  <si>
    <t>BOX 1555, Solna, Švedska</t>
  </si>
  <si>
    <t>IFS TRADE d.o.o.</t>
  </si>
  <si>
    <t>SI12478610</t>
  </si>
  <si>
    <t>Brodišče 30, Trzin, Slovenija</t>
  </si>
  <si>
    <t>LOVATO ELECTRIC d.o.o.</t>
  </si>
  <si>
    <t>Borongajska cesta 81B/2, Zagreb</t>
  </si>
  <si>
    <t xml:space="preserve">U. O. KOD PERE </t>
  </si>
  <si>
    <t>Radučić centar 6, Radučić</t>
  </si>
  <si>
    <t>VERONA DUE d.o.o.</t>
  </si>
  <si>
    <t>Topolovečka ulica 25, Zagreb</t>
  </si>
  <si>
    <t>MICROSTAR d.o.o.</t>
  </si>
  <si>
    <t>Siget 18/b, Zagreb</t>
  </si>
  <si>
    <t>Ru-Ve d.o.o.</t>
  </si>
  <si>
    <t>Prosinačka ulica 14, Kerestinec</t>
  </si>
  <si>
    <t>RH UPRAVNI ODJEL ZA GOSPODARSKI RAZVOJ GRAD PLOČE</t>
  </si>
  <si>
    <t>Trg kralja Tomislava 23, Ploče</t>
  </si>
  <si>
    <t>naknada za vode</t>
  </si>
  <si>
    <t>DHL INTERNATIONAL D.O.O.</t>
  </si>
  <si>
    <t>Utinjska 40, Zagreb</t>
  </si>
  <si>
    <t>EURO-VRT d.o.o.</t>
  </si>
  <si>
    <t>Ulica grada Gospića 3, Zagreb</t>
  </si>
  <si>
    <t>Ulica grada Chicaga 37, Zagreb</t>
  </si>
  <si>
    <t>MB FRIGO GRUPA D.O.O.</t>
  </si>
  <si>
    <t>Bani 81, Zagreb</t>
  </si>
  <si>
    <t>NEŽIĆ d.o.o.</t>
  </si>
  <si>
    <t>Mažinjica 105, Buzet</t>
  </si>
  <si>
    <t>PRO-PROM ZAGREB d.o.o.</t>
  </si>
  <si>
    <t>Svetoklarska ulica 34A, Zagreb</t>
  </si>
  <si>
    <t>TRGO-LEPTIR PROIZVODNJA I TRGOVINA D.O.O.</t>
  </si>
  <si>
    <t>Radnička 41, Rijeka</t>
  </si>
  <si>
    <t>PROIZVODNJA OPRUGA, ZAGREB</t>
  </si>
  <si>
    <t>Japetička 18, Zagreb</t>
  </si>
  <si>
    <t>MB ALATI d.o.o</t>
  </si>
  <si>
    <t>novčani polog za ozbiljnost ponude</t>
  </si>
  <si>
    <t>pomoć u slučaju smrti zaposlenika</t>
  </si>
  <si>
    <t>ALTASYS j.d.o.o.</t>
  </si>
  <si>
    <t>Ulica Antuna Štrbana 12, Zagreb</t>
  </si>
  <si>
    <t>Ukupno u travnju 2026.</t>
  </si>
  <si>
    <t>TROŠENJE SREDSTAVA U SVIBNJU 2026.</t>
  </si>
  <si>
    <t>HP HRVATSKA POŠTA D.D.</t>
  </si>
  <si>
    <t>FILIA USLUGE d.o.o.</t>
  </si>
  <si>
    <t>03777302074</t>
  </si>
  <si>
    <t>Avenija Dubrovnik 16/7, Zagreb</t>
  </si>
  <si>
    <t>PLINARA ISTOČNE SLAVONIJE d.o.o.</t>
  </si>
  <si>
    <t>Ohridska 17, Vinkovci</t>
  </si>
  <si>
    <t>DOM ZDRAVLJA KARLOVAČKE ŽUPANIJE OJ OGULIN</t>
  </si>
  <si>
    <t>Ulica Bernardina Frankopana 14, Ogulin</t>
  </si>
  <si>
    <t>KOMUNALAC d.o.o. BJELOVAR</t>
  </si>
  <si>
    <t>Ferde Livadića 14/a, Bjelovar</t>
  </si>
  <si>
    <t>METALKO d.o.o.</t>
  </si>
  <si>
    <t>Ulica Ivana Gundulića 1A, Pakrac</t>
  </si>
  <si>
    <t>MATRIS d.o.o.</t>
  </si>
  <si>
    <t>SI91721709</t>
  </si>
  <si>
    <t>Jelenčeva ulica 1, Kranj, Slovenija</t>
  </si>
  <si>
    <t>AUTO-JURKOVIĆ d.o.o.</t>
  </si>
  <si>
    <t>Ulica grada Vukovara 238a, Zagreb</t>
  </si>
  <si>
    <t>HRVATSKI VETERINARSKI INSTITUT</t>
  </si>
  <si>
    <t>Savska cesta 143, Zagreb</t>
  </si>
  <si>
    <t>trošak analize otpadnih voda</t>
  </si>
  <si>
    <t xml:space="preserve">GLENINVEST d.o.o. </t>
  </si>
  <si>
    <t>Mirogojska Cesta 45/b, Zagreb</t>
  </si>
  <si>
    <t>AUTOKUĆA GAŠPARIĆ D.O.O.</t>
  </si>
  <si>
    <t>Ul. dr. Tome Bratkovića 1, Čakovec</t>
  </si>
  <si>
    <t>˝ŠIMUNIĆ˝ Obrt za prijevoz građevinsku mehanizaciju i ugostitelj</t>
  </si>
  <si>
    <t>Bistranska 142, Gornja Bistra</t>
  </si>
  <si>
    <t>TERRAGAZ TECH  d.o.o.</t>
  </si>
  <si>
    <t>Ul. A. Kačića Miošića 41, Velika Gorica</t>
  </si>
  <si>
    <t>Tarsa d.o.o - KONOBA TARSA</t>
  </si>
  <si>
    <t>Josipa Kulfaneka 10, Rijeka</t>
  </si>
  <si>
    <t>WIEN d.o.o.</t>
  </si>
  <si>
    <t>04085141361</t>
  </si>
  <si>
    <t>Sutlanska 14, Osijek</t>
  </si>
  <si>
    <t>JELEN PROFESSIONAL d.o.o.</t>
  </si>
  <si>
    <t>01663410483</t>
  </si>
  <si>
    <t>Braće Radić 37A, Belica</t>
  </si>
  <si>
    <t>SPEC.ORD. MED. RADA I SPORTA JOSIP FILAKOVIĆ</t>
  </si>
  <si>
    <t>Kralja Zvonimira 53, Vinkovci</t>
  </si>
  <si>
    <t>KOLPA d.d</t>
  </si>
  <si>
    <t>SI92085911</t>
  </si>
  <si>
    <t>Rosalnice 5, Metlika, Slovenija</t>
  </si>
  <si>
    <t>HOLDING KORPORACIJA "KRUŠIK" a.d.</t>
  </si>
  <si>
    <t>SR101493890</t>
  </si>
  <si>
    <t>Vladike Nikolaja 59, Valjevo, Srbija</t>
  </si>
  <si>
    <t>EUROMAX d.o.o.</t>
  </si>
  <si>
    <t>Bolnička 44, Ogulin</t>
  </si>
  <si>
    <t>DUŠKO KABIĆ SLATKI SNOVI</t>
  </si>
  <si>
    <t>05996293166</t>
  </si>
  <si>
    <t>Đerekova 7, Knin</t>
  </si>
  <si>
    <t>FORMA PURUS d.o.o.</t>
  </si>
  <si>
    <t>Stara cesta 32B, Hrvatski Leskovac</t>
  </si>
  <si>
    <t>PNEUMATIK d.o.o.</t>
  </si>
  <si>
    <t>Karažnik 2A, Zagreb</t>
  </si>
  <si>
    <t>HOSPES d.o.o.</t>
  </si>
  <si>
    <t>09488577424</t>
  </si>
  <si>
    <t>Hansa Dietricha Genschera 7, Vinkovci</t>
  </si>
  <si>
    <t>KOPRIVNIČKE VODE d.o.o.</t>
  </si>
  <si>
    <t>Ulica Mosna 15a, Koprivnica</t>
  </si>
  <si>
    <t>SORMIKO D.O.O.</t>
  </si>
  <si>
    <t>Dr. Franje Tuđmana 31, Novaki</t>
  </si>
  <si>
    <t>SAN MARKO d.o.o.</t>
  </si>
  <si>
    <t>Ulica Ivana Lackovića Croate 4, Odra</t>
  </si>
  <si>
    <t>M.B. AUTO d.o.o. za trgovinu i usluge</t>
  </si>
  <si>
    <t>RMT GRUPA d.o.o.</t>
  </si>
  <si>
    <t>Ulica Josipa Strganca 4, Zagreb</t>
  </si>
  <si>
    <t>ĐURĐA MONT d.o.o.</t>
  </si>
  <si>
    <t>Selnica Podravska 49, Selnica Podravska</t>
  </si>
  <si>
    <t>Industrijski odvojak 8, Sveta Nedjelja</t>
  </si>
  <si>
    <t>VINKOPROM D.O.O.</t>
  </si>
  <si>
    <t>00721719381</t>
  </si>
  <si>
    <t>THERMO SERVICE CENTAR d.o.o.</t>
  </si>
  <si>
    <t>Boki 6, Puhovo</t>
  </si>
  <si>
    <t>Feropromet d.o.o.</t>
  </si>
  <si>
    <t>RS100243474</t>
  </si>
  <si>
    <t>GOSPODARANJE OTPADOM SISAK d.o.o.</t>
  </si>
  <si>
    <t>Trg Josipa Mađerića 1, Sisak</t>
  </si>
  <si>
    <t>CE-ZA-R D.O.O.</t>
  </si>
  <si>
    <t>03860945174</t>
  </si>
  <si>
    <t>Ulica Josipa Lončara 15, Zagreb</t>
  </si>
  <si>
    <t>obveze za primljena jamstva</t>
  </si>
  <si>
    <t>DAMA - D.P. d.o.o.</t>
  </si>
  <si>
    <t>Haberlea Marijana 12, Zagreb</t>
  </si>
  <si>
    <t>zbrinjavanje otpada</t>
  </si>
  <si>
    <t>LENGER d.o.o</t>
  </si>
  <si>
    <t>Krežmina 6a, Zagreb</t>
  </si>
  <si>
    <t>MENDIS-PROJEKT  d.o.o.</t>
  </si>
  <si>
    <t>FUCHS MAZIVA d.o.o.</t>
  </si>
  <si>
    <t>Domaslovec, I Krmica 8, Samobor</t>
  </si>
  <si>
    <t>RAVIUM d.o.o.</t>
  </si>
  <si>
    <t>Ulica Dane Duića 7, Zagreb</t>
  </si>
  <si>
    <t>DOM ZDRAVLJA SPLITSKO-DALMATINSKE ŽUP</t>
  </si>
  <si>
    <t>04847852112</t>
  </si>
  <si>
    <t>Kavanjinova 2, Split</t>
  </si>
  <si>
    <t>LUX-R d.o.o.</t>
  </si>
  <si>
    <t>Božidarevićeva ulica 7, Zagreb</t>
  </si>
  <si>
    <t xml:space="preserve">HAPPICH GmbH </t>
  </si>
  <si>
    <t>DE258211572</t>
  </si>
  <si>
    <t>Lise-Meitner Strasse 14, Njemačka</t>
  </si>
  <si>
    <t>CEDAR AGRO d.o.o.</t>
  </si>
  <si>
    <t>Kalnička 4, Novi Marof</t>
  </si>
  <si>
    <t>Ukupno u svibnju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</si>
</sst>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/>
    <xf numFmtId="0" fontId="1" fillId="2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1" fillId="0" borderId="1" xfId="0" quotePrefix="1" applyFont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1" fillId="2" borderId="3" xfId="0" applyFont="1" applyFill="1" applyBorder="1" applyAlignment="1">
      <alignment vertical="center"/>
    </xf>
    <xf numFmtId="0" fontId="1" fillId="0" borderId="4" xfId="0" quotePrefix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2" borderId="7" xfId="0" applyFont="1" applyFill="1" applyBorder="1"/>
    <xf numFmtId="4" fontId="1" fillId="0" borderId="7" xfId="0" applyNumberFormat="1" applyFont="1" applyBorder="1"/>
    <xf numFmtId="0" fontId="1" fillId="0" borderId="7" xfId="0" applyFont="1" applyBorder="1"/>
    <xf numFmtId="4" fontId="3" fillId="0" borderId="0" xfId="0" applyNumberFormat="1" applyFont="1" applyAlignment="1">
      <alignment horizontal="right"/>
    </xf>
    <xf numFmtId="4" fontId="1" fillId="0" borderId="8" xfId="0" applyNumberFormat="1" applyFont="1" applyBorder="1"/>
    <xf numFmtId="0" fontId="1" fillId="2" borderId="6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1" xfId="0" quotePrefix="1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4959AB-5CBE-4238-B955-575F4E82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F6AE3B-30BA-4A2C-BCA3-1306B1D3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626209-C003-4856-85F1-481FEBC3C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</xdr:col>
      <xdr:colOff>923925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B043B-03B3-451B-BAC4-40AC8F98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219"/>
  <sheetViews>
    <sheetView topLeftCell="A208" workbookViewId="0">
      <selection activeCell="B218" sqref="B218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7" t="s">
        <v>7</v>
      </c>
      <c r="B6" s="77"/>
    </row>
    <row r="7" spans="1:7" x14ac:dyDescent="0.2">
      <c r="A7" s="77" t="s">
        <v>8</v>
      </c>
      <c r="B7" s="77"/>
    </row>
    <row r="8" spans="1:7" x14ac:dyDescent="0.2">
      <c r="A8" s="23"/>
      <c r="B8" s="6"/>
      <c r="C8" s="78" t="s">
        <v>434</v>
      </c>
      <c r="D8" s="78"/>
      <c r="E8" s="78"/>
      <c r="F8" s="78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351</v>
      </c>
      <c r="C12" s="11">
        <v>66734484850</v>
      </c>
      <c r="D12" s="5" t="s">
        <v>352</v>
      </c>
      <c r="E12" s="8">
        <v>2551.33</v>
      </c>
      <c r="F12" s="5" t="s">
        <v>9</v>
      </c>
      <c r="G12" s="2" t="s">
        <v>305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32.159999999999997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297</v>
      </c>
      <c r="C14" s="11">
        <v>34604734054</v>
      </c>
      <c r="D14" s="5" t="s">
        <v>298</v>
      </c>
      <c r="E14" s="8">
        <v>55.67</v>
      </c>
      <c r="F14" s="5" t="s">
        <v>9</v>
      </c>
      <c r="G14" s="2" t="s">
        <v>174</v>
      </c>
    </row>
    <row r="15" spans="1:7" x14ac:dyDescent="0.2">
      <c r="A15" s="11">
        <v>5</v>
      </c>
      <c r="B15" s="5" t="s">
        <v>15</v>
      </c>
      <c r="C15" s="11" t="s">
        <v>15</v>
      </c>
      <c r="D15" s="5" t="s">
        <v>15</v>
      </c>
      <c r="E15" s="8">
        <v>1200</v>
      </c>
      <c r="F15" s="5" t="s">
        <v>9</v>
      </c>
      <c r="G15" s="2" t="s">
        <v>446</v>
      </c>
    </row>
    <row r="16" spans="1:7" ht="12" customHeight="1" x14ac:dyDescent="0.2">
      <c r="A16" s="11">
        <v>6</v>
      </c>
      <c r="B16" s="5" t="s">
        <v>16</v>
      </c>
      <c r="C16" s="12" t="s">
        <v>25</v>
      </c>
      <c r="D16" s="9" t="s">
        <v>412</v>
      </c>
      <c r="E16" s="8">
        <v>8940</v>
      </c>
      <c r="F16" s="5" t="s">
        <v>9</v>
      </c>
      <c r="G16" s="2" t="s">
        <v>17</v>
      </c>
    </row>
    <row r="17" spans="1:9" x14ac:dyDescent="0.2">
      <c r="A17" s="11">
        <v>7</v>
      </c>
      <c r="B17" s="5" t="s">
        <v>19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18</v>
      </c>
    </row>
    <row r="18" spans="1:9" x14ac:dyDescent="0.2">
      <c r="A18" s="11">
        <v>8</v>
      </c>
      <c r="B18" s="5" t="s">
        <v>397</v>
      </c>
      <c r="C18" s="12" t="s">
        <v>399</v>
      </c>
      <c r="D18" s="5" t="s">
        <v>398</v>
      </c>
      <c r="E18" s="8">
        <v>2000</v>
      </c>
      <c r="F18" s="5" t="s">
        <v>9</v>
      </c>
      <c r="G18" s="2" t="s">
        <v>183</v>
      </c>
    </row>
    <row r="19" spans="1:9" x14ac:dyDescent="0.2">
      <c r="A19" s="11">
        <v>9</v>
      </c>
      <c r="B19" s="5" t="s">
        <v>22</v>
      </c>
      <c r="C19" s="11">
        <v>73660371074</v>
      </c>
      <c r="D19" s="5" t="s">
        <v>28</v>
      </c>
      <c r="E19" s="8">
        <f>125.93+13.26+1798.5</f>
        <v>1937.69</v>
      </c>
      <c r="F19" s="5" t="s">
        <v>9</v>
      </c>
      <c r="G19" s="2" t="s">
        <v>20</v>
      </c>
    </row>
    <row r="20" spans="1:9" x14ac:dyDescent="0.2">
      <c r="A20" s="11">
        <v>10</v>
      </c>
      <c r="B20" s="5" t="s">
        <v>299</v>
      </c>
      <c r="C20" s="11">
        <v>33813961569</v>
      </c>
      <c r="D20" s="5" t="s">
        <v>300</v>
      </c>
      <c r="E20" s="8">
        <v>157.07</v>
      </c>
      <c r="F20" s="5" t="s">
        <v>9</v>
      </c>
      <c r="G20" s="2" t="s">
        <v>70</v>
      </c>
    </row>
    <row r="21" spans="1:9" x14ac:dyDescent="0.2">
      <c r="A21" s="11">
        <v>11</v>
      </c>
      <c r="B21" s="5" t="s">
        <v>15</v>
      </c>
      <c r="C21" s="11" t="s">
        <v>15</v>
      </c>
      <c r="D21" s="5" t="s">
        <v>15</v>
      </c>
      <c r="E21" s="8">
        <v>1532412.09</v>
      </c>
      <c r="F21" s="5" t="s">
        <v>9</v>
      </c>
      <c r="G21" s="2" t="s">
        <v>27</v>
      </c>
    </row>
    <row r="22" spans="1:9" x14ac:dyDescent="0.2">
      <c r="A22" s="11">
        <v>12</v>
      </c>
      <c r="B22" s="5" t="s">
        <v>263</v>
      </c>
      <c r="C22" s="11">
        <v>13534526502</v>
      </c>
      <c r="D22" s="5" t="s">
        <v>264</v>
      </c>
      <c r="E22" s="8">
        <v>3700.6</v>
      </c>
      <c r="F22" s="5" t="s">
        <v>9</v>
      </c>
      <c r="G22" s="2" t="s">
        <v>20</v>
      </c>
    </row>
    <row r="23" spans="1:9" x14ac:dyDescent="0.2">
      <c r="A23" s="11">
        <v>13</v>
      </c>
      <c r="B23" s="19" t="s">
        <v>350</v>
      </c>
      <c r="C23" s="30">
        <v>86648038250</v>
      </c>
      <c r="D23" s="19" t="s">
        <v>329</v>
      </c>
      <c r="E23" s="15">
        <v>81.25</v>
      </c>
      <c r="F23" s="19" t="s">
        <v>9</v>
      </c>
      <c r="G23" s="25" t="s">
        <v>72</v>
      </c>
    </row>
    <row r="24" spans="1:9" x14ac:dyDescent="0.2">
      <c r="A24" s="11">
        <v>14</v>
      </c>
      <c r="B24" s="5" t="s">
        <v>29</v>
      </c>
      <c r="C24" s="12" t="s">
        <v>32</v>
      </c>
      <c r="D24" s="5" t="s">
        <v>31</v>
      </c>
      <c r="E24" s="8">
        <v>1952.75</v>
      </c>
      <c r="F24" s="5" t="s">
        <v>9</v>
      </c>
      <c r="G24" s="2" t="s">
        <v>14</v>
      </c>
    </row>
    <row r="25" spans="1:9" x14ac:dyDescent="0.2">
      <c r="A25" s="11">
        <v>15</v>
      </c>
      <c r="B25" s="5" t="s">
        <v>458</v>
      </c>
      <c r="C25" s="11">
        <v>36856583241</v>
      </c>
      <c r="D25" s="5" t="s">
        <v>460</v>
      </c>
      <c r="E25" s="8">
        <v>125000</v>
      </c>
      <c r="F25" s="5" t="s">
        <v>9</v>
      </c>
      <c r="G25" s="2" t="s">
        <v>459</v>
      </c>
    </row>
    <row r="26" spans="1:9" x14ac:dyDescent="0.2">
      <c r="A26" s="11">
        <v>16</v>
      </c>
      <c r="B26" s="5" t="s">
        <v>461</v>
      </c>
      <c r="C26" s="11">
        <v>22228764473</v>
      </c>
      <c r="D26" s="5" t="s">
        <v>462</v>
      </c>
      <c r="E26" s="8">
        <v>200</v>
      </c>
      <c r="F26" s="5" t="s">
        <v>9</v>
      </c>
      <c r="G26" s="2" t="s">
        <v>256</v>
      </c>
    </row>
    <row r="27" spans="1:9" ht="12.75" thickBot="1" x14ac:dyDescent="0.25">
      <c r="A27" s="11">
        <v>17</v>
      </c>
      <c r="B27" s="5" t="s">
        <v>463</v>
      </c>
      <c r="C27" s="11" t="s">
        <v>465</v>
      </c>
      <c r="D27" s="5" t="s">
        <v>464</v>
      </c>
      <c r="E27" s="8">
        <v>6012</v>
      </c>
      <c r="F27" s="5" t="s">
        <v>9</v>
      </c>
      <c r="G27" s="2" t="s">
        <v>20</v>
      </c>
    </row>
    <row r="28" spans="1:9" x14ac:dyDescent="0.2">
      <c r="A28" s="65">
        <v>18</v>
      </c>
      <c r="B28" s="67" t="s">
        <v>281</v>
      </c>
      <c r="C28" s="65">
        <v>66253945791</v>
      </c>
      <c r="D28" s="67" t="s">
        <v>46</v>
      </c>
      <c r="E28" s="16">
        <f>47245.6</f>
        <v>47245.599999999999</v>
      </c>
      <c r="F28" s="67" t="s">
        <v>9</v>
      </c>
      <c r="G28" s="26" t="s">
        <v>36</v>
      </c>
    </row>
    <row r="29" spans="1:9" x14ac:dyDescent="0.2">
      <c r="A29" s="75"/>
      <c r="B29" s="76"/>
      <c r="C29" s="75"/>
      <c r="D29" s="76"/>
      <c r="E29" s="8">
        <v>117526.08</v>
      </c>
      <c r="F29" s="76"/>
      <c r="G29" s="2" t="s">
        <v>37</v>
      </c>
      <c r="I29" s="13"/>
    </row>
    <row r="30" spans="1:9" ht="12.75" thickBot="1" x14ac:dyDescent="0.25">
      <c r="A30" s="66"/>
      <c r="B30" s="68"/>
      <c r="C30" s="66"/>
      <c r="D30" s="68"/>
      <c r="E30" s="18">
        <v>20000</v>
      </c>
      <c r="F30" s="68"/>
      <c r="G30" s="27" t="s">
        <v>20</v>
      </c>
      <c r="I30" s="13"/>
    </row>
    <row r="31" spans="1:9" x14ac:dyDescent="0.2">
      <c r="A31" s="31">
        <v>19</v>
      </c>
      <c r="B31" s="5" t="s">
        <v>33</v>
      </c>
      <c r="C31" s="11">
        <v>57500462912</v>
      </c>
      <c r="D31" s="5" t="s">
        <v>35</v>
      </c>
      <c r="E31" s="8">
        <v>300</v>
      </c>
      <c r="F31" s="5" t="s">
        <v>9</v>
      </c>
      <c r="G31" s="2" t="s">
        <v>34</v>
      </c>
    </row>
    <row r="32" spans="1:9" ht="12.75" thickBot="1" x14ac:dyDescent="0.25">
      <c r="A32" s="30">
        <v>20</v>
      </c>
      <c r="B32" s="19" t="s">
        <v>38</v>
      </c>
      <c r="C32" s="30">
        <v>63073332379</v>
      </c>
      <c r="D32" s="19" t="s">
        <v>48</v>
      </c>
      <c r="E32" s="15">
        <v>7265.62</v>
      </c>
      <c r="F32" s="19" t="s">
        <v>9</v>
      </c>
      <c r="G32" s="25" t="s">
        <v>40</v>
      </c>
    </row>
    <row r="33" spans="1:9" x14ac:dyDescent="0.2">
      <c r="A33" s="65">
        <v>21</v>
      </c>
      <c r="B33" s="67" t="s">
        <v>39</v>
      </c>
      <c r="C33" s="65">
        <v>39901919995</v>
      </c>
      <c r="D33" s="67" t="s">
        <v>47</v>
      </c>
      <c r="E33" s="16">
        <f>2356.64+5248.77+9491.37</f>
        <v>17096.78</v>
      </c>
      <c r="F33" s="67" t="s">
        <v>9</v>
      </c>
      <c r="G33" s="26" t="s">
        <v>40</v>
      </c>
    </row>
    <row r="34" spans="1:9" x14ac:dyDescent="0.2">
      <c r="A34" s="75"/>
      <c r="B34" s="76"/>
      <c r="C34" s="75"/>
      <c r="D34" s="76"/>
      <c r="E34" s="8">
        <f>287.03+82.96</f>
        <v>369.98999999999995</v>
      </c>
      <c r="F34" s="76"/>
      <c r="G34" s="2" t="s">
        <v>41</v>
      </c>
      <c r="I34" s="13"/>
    </row>
    <row r="35" spans="1:9" x14ac:dyDescent="0.2">
      <c r="A35" s="75"/>
      <c r="B35" s="76"/>
      <c r="C35" s="75"/>
      <c r="D35" s="76"/>
      <c r="E35" s="8">
        <f>19320.44+50937.5</f>
        <v>70257.94</v>
      </c>
      <c r="F35" s="76"/>
      <c r="G35" s="2" t="s">
        <v>42</v>
      </c>
    </row>
    <row r="36" spans="1:9" ht="12.75" thickBot="1" x14ac:dyDescent="0.25">
      <c r="A36" s="66"/>
      <c r="B36" s="68"/>
      <c r="C36" s="66"/>
      <c r="D36" s="68"/>
      <c r="E36" s="18">
        <f>1477.71+4125.8</f>
        <v>5603.51</v>
      </c>
      <c r="F36" s="68"/>
      <c r="G36" s="27" t="s">
        <v>43</v>
      </c>
      <c r="I36" s="13"/>
    </row>
    <row r="37" spans="1:9" ht="12.75" thickBot="1" x14ac:dyDescent="0.25">
      <c r="A37" s="32">
        <v>22</v>
      </c>
      <c r="B37" s="33" t="s">
        <v>44</v>
      </c>
      <c r="C37" s="32">
        <v>93039509752</v>
      </c>
      <c r="D37" s="33" t="s">
        <v>49</v>
      </c>
      <c r="E37" s="20">
        <f>122.26+510.99+1021.96</f>
        <v>1655.21</v>
      </c>
      <c r="F37" s="33" t="s">
        <v>9</v>
      </c>
      <c r="G37" s="34" t="s">
        <v>45</v>
      </c>
    </row>
    <row r="38" spans="1:9" ht="15" customHeight="1" thickBot="1" x14ac:dyDescent="0.25">
      <c r="A38" s="69">
        <v>23</v>
      </c>
      <c r="B38" s="72" t="s">
        <v>50</v>
      </c>
      <c r="C38" s="69">
        <v>11471889269</v>
      </c>
      <c r="D38" s="72" t="s">
        <v>51</v>
      </c>
      <c r="E38" s="16">
        <f>14272.93+87.86</f>
        <v>14360.79</v>
      </c>
      <c r="F38" s="70" t="s">
        <v>9</v>
      </c>
      <c r="G38" s="26" t="s">
        <v>37</v>
      </c>
    </row>
    <row r="39" spans="1:9" ht="17.25" customHeight="1" thickBot="1" x14ac:dyDescent="0.25">
      <c r="A39" s="69"/>
      <c r="B39" s="72"/>
      <c r="C39" s="69"/>
      <c r="D39" s="72"/>
      <c r="E39" s="18">
        <f>24813.2+11913.17+27359.11</f>
        <v>64085.48</v>
      </c>
      <c r="F39" s="71"/>
      <c r="G39" s="27" t="s">
        <v>20</v>
      </c>
    </row>
    <row r="40" spans="1:9" ht="12.75" thickBot="1" x14ac:dyDescent="0.25">
      <c r="A40" s="69">
        <v>24</v>
      </c>
      <c r="B40" s="72" t="s">
        <v>52</v>
      </c>
      <c r="C40" s="69">
        <v>27759560625</v>
      </c>
      <c r="D40" s="73" t="s">
        <v>54</v>
      </c>
      <c r="E40" s="16">
        <v>5923.11</v>
      </c>
      <c r="F40" s="70" t="s">
        <v>9</v>
      </c>
      <c r="G40" s="26" t="s">
        <v>53</v>
      </c>
    </row>
    <row r="41" spans="1:9" ht="12.75" thickBot="1" x14ac:dyDescent="0.25">
      <c r="A41" s="69"/>
      <c r="B41" s="72"/>
      <c r="C41" s="69"/>
      <c r="D41" s="73"/>
      <c r="E41" s="15">
        <f>796.43+7662.51</f>
        <v>8458.94</v>
      </c>
      <c r="F41" s="74"/>
      <c r="G41" s="25" t="s">
        <v>20</v>
      </c>
    </row>
    <row r="42" spans="1:9" x14ac:dyDescent="0.2">
      <c r="A42" s="11">
        <v>25</v>
      </c>
      <c r="B42" s="5" t="s">
        <v>435</v>
      </c>
      <c r="C42" s="11">
        <v>99382542277</v>
      </c>
      <c r="D42" s="5" t="s">
        <v>436</v>
      </c>
      <c r="E42" s="8">
        <v>78.099999999999994</v>
      </c>
      <c r="F42" s="5" t="s">
        <v>9</v>
      </c>
      <c r="G42" s="2" t="s">
        <v>20</v>
      </c>
    </row>
    <row r="43" spans="1:9" x14ac:dyDescent="0.2">
      <c r="A43" s="11">
        <v>26</v>
      </c>
      <c r="B43" s="5" t="s">
        <v>56</v>
      </c>
      <c r="C43" s="11">
        <v>42889250808</v>
      </c>
      <c r="D43" s="5" t="s">
        <v>57</v>
      </c>
      <c r="E43" s="8">
        <v>114.03</v>
      </c>
      <c r="F43" s="5" t="s">
        <v>9</v>
      </c>
      <c r="G43" s="2" t="s">
        <v>55</v>
      </c>
    </row>
    <row r="44" spans="1:9" x14ac:dyDescent="0.2">
      <c r="A44" s="11">
        <v>27</v>
      </c>
      <c r="B44" s="5" t="s">
        <v>334</v>
      </c>
      <c r="C44" s="11" t="s">
        <v>335</v>
      </c>
      <c r="D44" s="5" t="s">
        <v>336</v>
      </c>
      <c r="E44" s="8">
        <f>1400.88</f>
        <v>1400.88</v>
      </c>
      <c r="F44" s="5" t="s">
        <v>9</v>
      </c>
      <c r="G44" s="2" t="s">
        <v>20</v>
      </c>
    </row>
    <row r="45" spans="1:9" x14ac:dyDescent="0.2">
      <c r="A45" s="11">
        <v>28</v>
      </c>
      <c r="B45" s="5" t="s">
        <v>59</v>
      </c>
      <c r="C45" s="11" t="s">
        <v>15</v>
      </c>
      <c r="D45" s="5" t="s">
        <v>15</v>
      </c>
      <c r="E45" s="8">
        <v>310.24</v>
      </c>
      <c r="F45" s="5" t="s">
        <v>9</v>
      </c>
      <c r="G45" s="2" t="s">
        <v>58</v>
      </c>
    </row>
    <row r="46" spans="1:9" x14ac:dyDescent="0.2">
      <c r="A46" s="11">
        <v>29</v>
      </c>
      <c r="B46" s="5" t="s">
        <v>15</v>
      </c>
      <c r="C46" s="11" t="s">
        <v>15</v>
      </c>
      <c r="D46" s="5" t="s">
        <v>15</v>
      </c>
      <c r="E46" s="8">
        <v>4680</v>
      </c>
      <c r="F46" s="5" t="s">
        <v>9</v>
      </c>
      <c r="G46" s="2" t="s">
        <v>60</v>
      </c>
    </row>
    <row r="47" spans="1:9" x14ac:dyDescent="0.2">
      <c r="A47" s="11">
        <v>30</v>
      </c>
      <c r="B47" s="5" t="s">
        <v>61</v>
      </c>
      <c r="C47" s="11">
        <v>981494061</v>
      </c>
      <c r="D47" s="5" t="s">
        <v>62</v>
      </c>
      <c r="E47" s="8">
        <v>836.34</v>
      </c>
      <c r="F47" s="5" t="s">
        <v>9</v>
      </c>
      <c r="G47" s="2" t="s">
        <v>41</v>
      </c>
    </row>
    <row r="48" spans="1:9" x14ac:dyDescent="0.2">
      <c r="A48" s="11">
        <v>31</v>
      </c>
      <c r="B48" s="5" t="s">
        <v>64</v>
      </c>
      <c r="C48" s="11">
        <v>80109305109</v>
      </c>
      <c r="D48" s="5" t="s">
        <v>65</v>
      </c>
      <c r="E48" s="8">
        <f>3000+1443.75</f>
        <v>4443.75</v>
      </c>
      <c r="F48" s="5" t="s">
        <v>9</v>
      </c>
      <c r="G48" s="2" t="s">
        <v>63</v>
      </c>
    </row>
    <row r="49" spans="1:7" x14ac:dyDescent="0.2">
      <c r="A49" s="11">
        <v>32</v>
      </c>
      <c r="B49" s="5" t="s">
        <v>15</v>
      </c>
      <c r="C49" s="11" t="s">
        <v>15</v>
      </c>
      <c r="D49" s="5" t="s">
        <v>15</v>
      </c>
      <c r="E49" s="8">
        <v>260</v>
      </c>
      <c r="F49" s="5" t="s">
        <v>9</v>
      </c>
      <c r="G49" s="2" t="s">
        <v>66</v>
      </c>
    </row>
    <row r="50" spans="1:7" x14ac:dyDescent="0.2">
      <c r="A50" s="11">
        <v>33</v>
      </c>
      <c r="B50" s="19" t="s">
        <v>67</v>
      </c>
      <c r="C50" s="30">
        <v>32179081874</v>
      </c>
      <c r="D50" s="19" t="s">
        <v>68</v>
      </c>
      <c r="E50" s="15">
        <f>7.86+175</f>
        <v>182.86</v>
      </c>
      <c r="F50" s="19" t="s">
        <v>9</v>
      </c>
      <c r="G50" s="25" t="s">
        <v>20</v>
      </c>
    </row>
    <row r="51" spans="1:7" ht="12.75" thickBot="1" x14ac:dyDescent="0.25">
      <c r="A51" s="11">
        <v>34</v>
      </c>
      <c r="B51" s="36" t="s">
        <v>71</v>
      </c>
      <c r="C51" s="37">
        <v>76173743169</v>
      </c>
      <c r="D51" s="36" t="s">
        <v>69</v>
      </c>
      <c r="E51" s="8">
        <v>777.74</v>
      </c>
      <c r="F51" s="36" t="s">
        <v>9</v>
      </c>
      <c r="G51" s="2" t="s">
        <v>70</v>
      </c>
    </row>
    <row r="52" spans="1:7" x14ac:dyDescent="0.2">
      <c r="A52" s="65">
        <v>35</v>
      </c>
      <c r="B52" s="67" t="s">
        <v>73</v>
      </c>
      <c r="C52" s="65">
        <v>34976993601</v>
      </c>
      <c r="D52" s="67" t="s">
        <v>74</v>
      </c>
      <c r="E52" s="16">
        <f>266.85+117.03</f>
        <v>383.88</v>
      </c>
      <c r="F52" s="67" t="s">
        <v>9</v>
      </c>
      <c r="G52" s="26" t="s">
        <v>72</v>
      </c>
    </row>
    <row r="53" spans="1:7" ht="12.75" thickBot="1" x14ac:dyDescent="0.25">
      <c r="A53" s="66"/>
      <c r="B53" s="68"/>
      <c r="C53" s="66"/>
      <c r="D53" s="68"/>
      <c r="E53" s="18">
        <v>238.7</v>
      </c>
      <c r="F53" s="68"/>
      <c r="G53" s="27" t="s">
        <v>147</v>
      </c>
    </row>
    <row r="54" spans="1:7" x14ac:dyDescent="0.2">
      <c r="A54" s="31">
        <v>36</v>
      </c>
      <c r="B54" s="28" t="s">
        <v>15</v>
      </c>
      <c r="C54" s="31" t="s">
        <v>15</v>
      </c>
      <c r="D54" s="28" t="s">
        <v>15</v>
      </c>
      <c r="E54" s="17">
        <v>1747.51</v>
      </c>
      <c r="F54" s="28" t="s">
        <v>9</v>
      </c>
      <c r="G54" s="29" t="s">
        <v>75</v>
      </c>
    </row>
    <row r="55" spans="1:7" x14ac:dyDescent="0.2">
      <c r="A55" s="11">
        <v>37</v>
      </c>
      <c r="B55" s="5" t="s">
        <v>15</v>
      </c>
      <c r="C55" s="11" t="s">
        <v>15</v>
      </c>
      <c r="D55" s="5" t="s">
        <v>15</v>
      </c>
      <c r="E55" s="8">
        <v>47171.57</v>
      </c>
      <c r="F55" s="5" t="s">
        <v>9</v>
      </c>
      <c r="G55" s="2" t="s">
        <v>76</v>
      </c>
    </row>
    <row r="56" spans="1:7" x14ac:dyDescent="0.2">
      <c r="A56" s="11">
        <v>38</v>
      </c>
      <c r="B56" s="5" t="s">
        <v>15</v>
      </c>
      <c r="C56" s="11" t="s">
        <v>15</v>
      </c>
      <c r="D56" s="5" t="s">
        <v>15</v>
      </c>
      <c r="E56" s="8">
        <f>1200+600</f>
        <v>1800</v>
      </c>
      <c r="F56" s="5" t="s">
        <v>9</v>
      </c>
      <c r="G56" s="2" t="s">
        <v>77</v>
      </c>
    </row>
    <row r="57" spans="1:7" x14ac:dyDescent="0.2">
      <c r="A57" s="11">
        <v>39</v>
      </c>
      <c r="B57" s="21" t="s">
        <v>78</v>
      </c>
      <c r="C57" s="22">
        <v>70133616033</v>
      </c>
      <c r="D57" s="21" t="s">
        <v>81</v>
      </c>
      <c r="E57" s="8">
        <v>2502.4299999999998</v>
      </c>
      <c r="F57" s="21" t="s">
        <v>9</v>
      </c>
      <c r="G57" s="2" t="s">
        <v>150</v>
      </c>
    </row>
    <row r="58" spans="1:7" x14ac:dyDescent="0.2">
      <c r="A58" s="11">
        <v>40</v>
      </c>
      <c r="B58" s="21" t="s">
        <v>79</v>
      </c>
      <c r="C58" s="22">
        <v>81793146560</v>
      </c>
      <c r="D58" s="21" t="s">
        <v>80</v>
      </c>
      <c r="E58" s="8">
        <f>2327.16+16.8</f>
        <v>2343.96</v>
      </c>
      <c r="F58" s="5" t="s">
        <v>9</v>
      </c>
      <c r="G58" s="2" t="s">
        <v>150</v>
      </c>
    </row>
    <row r="59" spans="1:7" x14ac:dyDescent="0.2">
      <c r="A59" s="11">
        <v>41</v>
      </c>
      <c r="B59" s="5" t="s">
        <v>82</v>
      </c>
      <c r="C59" s="11">
        <v>46163832762</v>
      </c>
      <c r="D59" s="5" t="s">
        <v>111</v>
      </c>
      <c r="E59" s="8">
        <v>179.01</v>
      </c>
      <c r="F59" s="5" t="s">
        <v>9</v>
      </c>
      <c r="G59" s="2" t="s">
        <v>70</v>
      </c>
    </row>
    <row r="60" spans="1:7" x14ac:dyDescent="0.2">
      <c r="A60" s="11">
        <v>42</v>
      </c>
      <c r="B60" s="5" t="s">
        <v>83</v>
      </c>
      <c r="C60" s="11">
        <v>41412434130</v>
      </c>
      <c r="D60" s="5" t="s">
        <v>110</v>
      </c>
      <c r="E60" s="8">
        <v>253.3</v>
      </c>
      <c r="F60" s="5" t="s">
        <v>9</v>
      </c>
      <c r="G60" s="2" t="s">
        <v>70</v>
      </c>
    </row>
    <row r="61" spans="1:7" x14ac:dyDescent="0.2">
      <c r="A61" s="11">
        <v>43</v>
      </c>
      <c r="B61" s="5" t="s">
        <v>84</v>
      </c>
      <c r="C61" s="12" t="s">
        <v>112</v>
      </c>
      <c r="D61" s="5" t="s">
        <v>113</v>
      </c>
      <c r="E61" s="8">
        <f>158.7+88.21</f>
        <v>246.90999999999997</v>
      </c>
      <c r="F61" s="5" t="s">
        <v>9</v>
      </c>
      <c r="G61" s="2" t="s">
        <v>70</v>
      </c>
    </row>
    <row r="62" spans="1:7" x14ac:dyDescent="0.2">
      <c r="A62" s="11">
        <v>44</v>
      </c>
      <c r="B62" s="5" t="s">
        <v>85</v>
      </c>
      <c r="C62" s="11" t="s">
        <v>303</v>
      </c>
      <c r="D62" s="5" t="s">
        <v>303</v>
      </c>
      <c r="E62" s="8">
        <v>1746</v>
      </c>
      <c r="F62" s="5" t="s">
        <v>9</v>
      </c>
      <c r="G62" s="2" t="s">
        <v>86</v>
      </c>
    </row>
    <row r="63" spans="1:7" x14ac:dyDescent="0.2">
      <c r="A63" s="11">
        <v>45</v>
      </c>
      <c r="B63" s="19" t="s">
        <v>406</v>
      </c>
      <c r="C63" s="30">
        <v>94167807411</v>
      </c>
      <c r="D63" s="19" t="s">
        <v>407</v>
      </c>
      <c r="E63" s="8">
        <f>13.88</f>
        <v>13.88</v>
      </c>
      <c r="F63" s="5" t="s">
        <v>9</v>
      </c>
      <c r="G63" s="2" t="s">
        <v>20</v>
      </c>
    </row>
    <row r="64" spans="1:7" x14ac:dyDescent="0.2">
      <c r="A64" s="11">
        <v>46</v>
      </c>
      <c r="B64" s="5" t="s">
        <v>395</v>
      </c>
      <c r="C64" s="12" t="s">
        <v>396</v>
      </c>
      <c r="D64" s="5" t="s">
        <v>394</v>
      </c>
      <c r="E64" s="8">
        <v>914.2</v>
      </c>
      <c r="F64" s="5" t="s">
        <v>9</v>
      </c>
      <c r="G64" s="2" t="s">
        <v>20</v>
      </c>
    </row>
    <row r="65" spans="1:7" x14ac:dyDescent="0.2">
      <c r="A65" s="11">
        <v>47</v>
      </c>
      <c r="B65" s="5" t="s">
        <v>181</v>
      </c>
      <c r="C65" s="11">
        <v>51892779522</v>
      </c>
      <c r="D65" s="5" t="s">
        <v>182</v>
      </c>
      <c r="E65" s="8">
        <v>115.5</v>
      </c>
      <c r="F65" s="5" t="s">
        <v>9</v>
      </c>
      <c r="G65" s="2" t="s">
        <v>20</v>
      </c>
    </row>
    <row r="66" spans="1:7" x14ac:dyDescent="0.2">
      <c r="A66" s="11">
        <v>48</v>
      </c>
      <c r="B66" s="5" t="s">
        <v>376</v>
      </c>
      <c r="C66" s="11" t="s">
        <v>378</v>
      </c>
      <c r="D66" s="5" t="s">
        <v>377</v>
      </c>
      <c r="E66" s="8">
        <v>100.66</v>
      </c>
      <c r="F66" s="5" t="s">
        <v>9</v>
      </c>
      <c r="G66" s="2" t="s">
        <v>147</v>
      </c>
    </row>
    <row r="67" spans="1:7" x14ac:dyDescent="0.2">
      <c r="A67" s="11">
        <v>49</v>
      </c>
      <c r="B67" s="5" t="s">
        <v>148</v>
      </c>
      <c r="C67" s="11">
        <v>40779258479</v>
      </c>
      <c r="D67" s="5" t="s">
        <v>149</v>
      </c>
      <c r="E67" s="8">
        <f>20000+55000</f>
        <v>75000</v>
      </c>
      <c r="F67" s="5" t="s">
        <v>9</v>
      </c>
      <c r="G67" s="2" t="s">
        <v>20</v>
      </c>
    </row>
    <row r="68" spans="1:7" x14ac:dyDescent="0.2">
      <c r="A68" s="11">
        <v>50</v>
      </c>
      <c r="B68" s="5" t="s">
        <v>198</v>
      </c>
      <c r="C68" s="11" t="s">
        <v>200</v>
      </c>
      <c r="D68" s="5" t="s">
        <v>199</v>
      </c>
      <c r="E68" s="8">
        <f>10000+16600</f>
        <v>26600</v>
      </c>
      <c r="F68" s="5" t="s">
        <v>9</v>
      </c>
      <c r="G68" s="2" t="s">
        <v>20</v>
      </c>
    </row>
    <row r="69" spans="1:7" x14ac:dyDescent="0.2">
      <c r="A69" s="11">
        <v>51</v>
      </c>
      <c r="B69" s="5" t="s">
        <v>427</v>
      </c>
      <c r="C69" s="11">
        <v>75628884500</v>
      </c>
      <c r="D69" s="5" t="s">
        <v>428</v>
      </c>
      <c r="E69" s="8">
        <v>48.62</v>
      </c>
      <c r="F69" s="5" t="s">
        <v>9</v>
      </c>
      <c r="G69" s="2" t="s">
        <v>20</v>
      </c>
    </row>
    <row r="70" spans="1:7" x14ac:dyDescent="0.2">
      <c r="A70" s="11">
        <v>52</v>
      </c>
      <c r="B70" s="36" t="s">
        <v>101</v>
      </c>
      <c r="C70" s="37">
        <v>71642207963</v>
      </c>
      <c r="D70" s="36" t="s">
        <v>124</v>
      </c>
      <c r="E70" s="8">
        <v>24.6</v>
      </c>
      <c r="F70" s="5" t="s">
        <v>9</v>
      </c>
      <c r="G70" s="25" t="s">
        <v>20</v>
      </c>
    </row>
    <row r="71" spans="1:7" x14ac:dyDescent="0.2">
      <c r="A71" s="11">
        <v>53</v>
      </c>
      <c r="B71" s="5" t="s">
        <v>440</v>
      </c>
      <c r="C71" s="11">
        <v>90449789256</v>
      </c>
      <c r="D71" s="5" t="s">
        <v>441</v>
      </c>
      <c r="E71" s="8">
        <v>10.8</v>
      </c>
      <c r="F71" s="5" t="s">
        <v>9</v>
      </c>
      <c r="G71" s="25" t="s">
        <v>20</v>
      </c>
    </row>
    <row r="72" spans="1:7" x14ac:dyDescent="0.2">
      <c r="A72" s="11">
        <v>54</v>
      </c>
      <c r="B72" s="5" t="s">
        <v>442</v>
      </c>
      <c r="C72" s="12" t="s">
        <v>444</v>
      </c>
      <c r="D72" s="5" t="s">
        <v>443</v>
      </c>
      <c r="E72" s="8">
        <v>27.8</v>
      </c>
      <c r="F72" s="5" t="s">
        <v>9</v>
      </c>
      <c r="G72" s="25" t="s">
        <v>20</v>
      </c>
    </row>
    <row r="73" spans="1:7" x14ac:dyDescent="0.2">
      <c r="A73" s="11">
        <v>55</v>
      </c>
      <c r="B73" s="5" t="s">
        <v>445</v>
      </c>
      <c r="C73" s="11">
        <v>18499608152</v>
      </c>
      <c r="D73" s="5" t="s">
        <v>328</v>
      </c>
      <c r="E73" s="8">
        <v>40.299999999999997</v>
      </c>
      <c r="F73" s="5" t="s">
        <v>9</v>
      </c>
      <c r="G73" s="25" t="s">
        <v>20</v>
      </c>
    </row>
    <row r="74" spans="1:7" x14ac:dyDescent="0.2">
      <c r="A74" s="11">
        <v>56</v>
      </c>
      <c r="B74" s="5" t="s">
        <v>269</v>
      </c>
      <c r="C74" s="11">
        <v>75202805533</v>
      </c>
      <c r="D74" s="5" t="s">
        <v>274</v>
      </c>
      <c r="E74" s="8">
        <v>93.51</v>
      </c>
      <c r="F74" s="5" t="s">
        <v>9</v>
      </c>
      <c r="G74" s="25" t="s">
        <v>20</v>
      </c>
    </row>
    <row r="75" spans="1:7" x14ac:dyDescent="0.2">
      <c r="A75" s="11">
        <v>57</v>
      </c>
      <c r="B75" s="5" t="s">
        <v>416</v>
      </c>
      <c r="C75" s="12" t="s">
        <v>385</v>
      </c>
      <c r="D75" s="5" t="s">
        <v>417</v>
      </c>
      <c r="E75" s="8">
        <v>335.2</v>
      </c>
      <c r="F75" s="5" t="s">
        <v>9</v>
      </c>
      <c r="G75" s="25" t="s">
        <v>20</v>
      </c>
    </row>
    <row r="76" spans="1:7" x14ac:dyDescent="0.2">
      <c r="A76" s="11">
        <v>58</v>
      </c>
      <c r="B76" s="5" t="s">
        <v>429</v>
      </c>
      <c r="C76" s="12">
        <v>81118596940</v>
      </c>
      <c r="D76" s="5" t="s">
        <v>430</v>
      </c>
      <c r="E76" s="8">
        <v>33.479999999999997</v>
      </c>
      <c r="F76" s="5" t="s">
        <v>9</v>
      </c>
      <c r="G76" s="25" t="s">
        <v>20</v>
      </c>
    </row>
    <row r="77" spans="1:7" x14ac:dyDescent="0.2">
      <c r="A77" s="11">
        <v>59</v>
      </c>
      <c r="B77" s="5" t="s">
        <v>87</v>
      </c>
      <c r="C77" s="11">
        <v>51645411160</v>
      </c>
      <c r="D77" s="5" t="s">
        <v>114</v>
      </c>
      <c r="E77" s="8">
        <v>53</v>
      </c>
      <c r="F77" s="5" t="s">
        <v>9</v>
      </c>
      <c r="G77" s="25" t="s">
        <v>20</v>
      </c>
    </row>
    <row r="78" spans="1:7" x14ac:dyDescent="0.2">
      <c r="A78" s="11">
        <v>60</v>
      </c>
      <c r="B78" s="21" t="s">
        <v>408</v>
      </c>
      <c r="C78" s="22">
        <v>22248533094</v>
      </c>
      <c r="D78" s="21" t="s">
        <v>409</v>
      </c>
      <c r="E78" s="8">
        <f>407.2+2121.25</f>
        <v>2528.4499999999998</v>
      </c>
      <c r="F78" s="5" t="s">
        <v>9</v>
      </c>
      <c r="G78" s="25" t="s">
        <v>20</v>
      </c>
    </row>
    <row r="79" spans="1:7" x14ac:dyDescent="0.2">
      <c r="A79" s="11">
        <v>61</v>
      </c>
      <c r="B79" s="5" t="s">
        <v>392</v>
      </c>
      <c r="C79" s="11">
        <v>71116385993</v>
      </c>
      <c r="D79" s="5" t="s">
        <v>393</v>
      </c>
      <c r="E79" s="8">
        <v>15.31</v>
      </c>
      <c r="F79" s="5" t="s">
        <v>9</v>
      </c>
      <c r="G79" s="25" t="s">
        <v>20</v>
      </c>
    </row>
    <row r="80" spans="1:7" x14ac:dyDescent="0.2">
      <c r="A80" s="11">
        <v>62</v>
      </c>
      <c r="B80" s="5" t="s">
        <v>145</v>
      </c>
      <c r="C80" s="11">
        <v>51846314410</v>
      </c>
      <c r="D80" s="5" t="s">
        <v>146</v>
      </c>
      <c r="E80" s="8">
        <v>568.41</v>
      </c>
      <c r="F80" s="5" t="s">
        <v>9</v>
      </c>
      <c r="G80" s="2" t="s">
        <v>147</v>
      </c>
    </row>
    <row r="81" spans="1:7" x14ac:dyDescent="0.2">
      <c r="A81" s="11">
        <v>63</v>
      </c>
      <c r="B81" s="5" t="s">
        <v>367</v>
      </c>
      <c r="C81" s="11">
        <v>37660132091</v>
      </c>
      <c r="D81" s="5" t="s">
        <v>368</v>
      </c>
      <c r="E81" s="8">
        <v>387.5</v>
      </c>
      <c r="F81" s="5" t="s">
        <v>9</v>
      </c>
      <c r="G81" s="25" t="s">
        <v>20</v>
      </c>
    </row>
    <row r="82" spans="1:7" x14ac:dyDescent="0.2">
      <c r="A82" s="11">
        <v>64</v>
      </c>
      <c r="B82" s="5" t="s">
        <v>447</v>
      </c>
      <c r="C82" s="11">
        <v>75531206229</v>
      </c>
      <c r="D82" s="5" t="s">
        <v>373</v>
      </c>
      <c r="E82" s="8">
        <v>388.13</v>
      </c>
      <c r="F82" s="5" t="s">
        <v>9</v>
      </c>
      <c r="G82" s="25" t="s">
        <v>20</v>
      </c>
    </row>
    <row r="83" spans="1:7" x14ac:dyDescent="0.2">
      <c r="A83" s="11">
        <v>65</v>
      </c>
      <c r="B83" s="5" t="s">
        <v>449</v>
      </c>
      <c r="C83" s="11">
        <v>49214559889</v>
      </c>
      <c r="D83" s="5" t="s">
        <v>448</v>
      </c>
      <c r="E83" s="8">
        <v>2075</v>
      </c>
      <c r="F83" s="5" t="s">
        <v>9</v>
      </c>
      <c r="G83" s="25" t="s">
        <v>20</v>
      </c>
    </row>
    <row r="84" spans="1:7" x14ac:dyDescent="0.2">
      <c r="A84" s="11">
        <v>66</v>
      </c>
      <c r="B84" s="5" t="s">
        <v>450</v>
      </c>
      <c r="C84" s="11">
        <v>14963486466</v>
      </c>
      <c r="D84" s="5" t="s">
        <v>451</v>
      </c>
      <c r="E84" s="8">
        <v>23.75</v>
      </c>
      <c r="F84" s="5" t="s">
        <v>9</v>
      </c>
      <c r="G84" s="25" t="s">
        <v>20</v>
      </c>
    </row>
    <row r="85" spans="1:7" x14ac:dyDescent="0.2">
      <c r="A85" s="11">
        <v>67</v>
      </c>
      <c r="B85" s="5" t="s">
        <v>452</v>
      </c>
      <c r="C85" s="11">
        <v>18810142900</v>
      </c>
      <c r="D85" s="5" t="s">
        <v>453</v>
      </c>
      <c r="E85" s="8">
        <v>282.02999999999997</v>
      </c>
      <c r="F85" s="5" t="s">
        <v>9</v>
      </c>
      <c r="G85" s="25" t="s">
        <v>20</v>
      </c>
    </row>
    <row r="86" spans="1:7" x14ac:dyDescent="0.2">
      <c r="A86" s="11">
        <v>68</v>
      </c>
      <c r="B86" s="5" t="s">
        <v>454</v>
      </c>
      <c r="C86" s="11">
        <v>50617926250</v>
      </c>
      <c r="D86" s="5" t="s">
        <v>455</v>
      </c>
      <c r="E86" s="8">
        <v>175.95</v>
      </c>
      <c r="F86" s="5" t="s">
        <v>9</v>
      </c>
      <c r="G86" s="25" t="s">
        <v>20</v>
      </c>
    </row>
    <row r="87" spans="1:7" x14ac:dyDescent="0.2">
      <c r="A87" s="11">
        <v>69</v>
      </c>
      <c r="B87" s="5" t="s">
        <v>456</v>
      </c>
      <c r="C87" s="11">
        <v>10585552225</v>
      </c>
      <c r="D87" s="5" t="s">
        <v>457</v>
      </c>
      <c r="E87" s="8">
        <v>545</v>
      </c>
      <c r="F87" s="5" t="s">
        <v>9</v>
      </c>
      <c r="G87" s="25" t="s">
        <v>45</v>
      </c>
    </row>
    <row r="88" spans="1:7" x14ac:dyDescent="0.2">
      <c r="A88" s="11">
        <v>70</v>
      </c>
      <c r="B88" s="5" t="s">
        <v>423</v>
      </c>
      <c r="C88" s="12">
        <v>13323407969</v>
      </c>
      <c r="D88" s="5" t="s">
        <v>424</v>
      </c>
      <c r="E88" s="8">
        <v>94.5</v>
      </c>
      <c r="F88" s="5" t="s">
        <v>9</v>
      </c>
      <c r="G88" s="25" t="s">
        <v>305</v>
      </c>
    </row>
    <row r="89" spans="1:7" x14ac:dyDescent="0.2">
      <c r="A89" s="11">
        <v>71</v>
      </c>
      <c r="B89" s="5" t="s">
        <v>259</v>
      </c>
      <c r="C89" s="11">
        <v>10765766984</v>
      </c>
      <c r="D89" s="5" t="s">
        <v>260</v>
      </c>
      <c r="E89" s="8">
        <v>2194.5</v>
      </c>
      <c r="F89" s="5" t="s">
        <v>9</v>
      </c>
      <c r="G89" s="2" t="s">
        <v>20</v>
      </c>
    </row>
    <row r="90" spans="1:7" x14ac:dyDescent="0.2">
      <c r="A90" s="11">
        <v>72</v>
      </c>
      <c r="B90" s="19" t="s">
        <v>431</v>
      </c>
      <c r="C90" s="35" t="s">
        <v>433</v>
      </c>
      <c r="D90" s="19" t="s">
        <v>432</v>
      </c>
      <c r="E90" s="8">
        <f>5000</f>
        <v>5000</v>
      </c>
      <c r="F90" s="5" t="s">
        <v>9</v>
      </c>
      <c r="G90" s="2" t="s">
        <v>20</v>
      </c>
    </row>
    <row r="91" spans="1:7" x14ac:dyDescent="0.2">
      <c r="A91" s="11">
        <v>73</v>
      </c>
      <c r="B91" s="5" t="s">
        <v>346</v>
      </c>
      <c r="C91" s="12" t="s">
        <v>383</v>
      </c>
      <c r="D91" s="5" t="s">
        <v>384</v>
      </c>
      <c r="E91" s="8">
        <f>5000+10000</f>
        <v>15000</v>
      </c>
      <c r="F91" s="5" t="s">
        <v>9</v>
      </c>
      <c r="G91" s="2" t="s">
        <v>20</v>
      </c>
    </row>
    <row r="92" spans="1:7" x14ac:dyDescent="0.2">
      <c r="A92" s="11">
        <v>74</v>
      </c>
      <c r="B92" s="5" t="s">
        <v>103</v>
      </c>
      <c r="C92" s="11">
        <v>80051835685</v>
      </c>
      <c r="D92" s="5" t="s">
        <v>126</v>
      </c>
      <c r="E92" s="8">
        <v>7656.25</v>
      </c>
      <c r="F92" s="5" t="s">
        <v>9</v>
      </c>
      <c r="G92" s="2" t="s">
        <v>20</v>
      </c>
    </row>
    <row r="93" spans="1:7" x14ac:dyDescent="0.2">
      <c r="A93" s="11">
        <v>75</v>
      </c>
      <c r="B93" s="5" t="s">
        <v>341</v>
      </c>
      <c r="C93" s="11">
        <v>13784529096</v>
      </c>
      <c r="D93" s="5" t="s">
        <v>342</v>
      </c>
      <c r="E93" s="8">
        <v>9</v>
      </c>
      <c r="F93" s="5" t="s">
        <v>9</v>
      </c>
      <c r="G93" s="2" t="s">
        <v>20</v>
      </c>
    </row>
    <row r="94" spans="1:7" x14ac:dyDescent="0.2">
      <c r="A94" s="11">
        <v>76</v>
      </c>
      <c r="B94" s="5" t="s">
        <v>306</v>
      </c>
      <c r="C94" s="11">
        <v>69927324836</v>
      </c>
      <c r="D94" s="5" t="s">
        <v>307</v>
      </c>
      <c r="E94" s="8">
        <v>4320.6499999999996</v>
      </c>
      <c r="F94" s="5" t="s">
        <v>9</v>
      </c>
      <c r="G94" s="2" t="s">
        <v>20</v>
      </c>
    </row>
    <row r="95" spans="1:7" x14ac:dyDescent="0.2">
      <c r="A95" s="11">
        <v>77</v>
      </c>
      <c r="B95" s="5" t="s">
        <v>308</v>
      </c>
      <c r="C95" s="11">
        <v>76025987753</v>
      </c>
      <c r="D95" s="5" t="s">
        <v>309</v>
      </c>
      <c r="E95" s="8">
        <v>1950</v>
      </c>
      <c r="F95" s="5" t="s">
        <v>9</v>
      </c>
      <c r="G95" s="2" t="s">
        <v>20</v>
      </c>
    </row>
    <row r="96" spans="1:7" x14ac:dyDescent="0.2">
      <c r="A96" s="11">
        <v>78</v>
      </c>
      <c r="B96" s="5" t="s">
        <v>194</v>
      </c>
      <c r="C96" s="11">
        <v>32047404941</v>
      </c>
      <c r="D96" s="5" t="s">
        <v>195</v>
      </c>
      <c r="E96" s="8">
        <f>1000+1099.63</f>
        <v>2099.63</v>
      </c>
      <c r="F96" s="5" t="s">
        <v>9</v>
      </c>
      <c r="G96" s="2" t="s">
        <v>20</v>
      </c>
    </row>
    <row r="97" spans="1:7" x14ac:dyDescent="0.2">
      <c r="A97" s="11">
        <v>79</v>
      </c>
      <c r="B97" s="5" t="s">
        <v>418</v>
      </c>
      <c r="C97" s="11" t="s">
        <v>419</v>
      </c>
      <c r="D97" s="5" t="s">
        <v>420</v>
      </c>
      <c r="E97" s="8">
        <f>5378+5440</f>
        <v>10818</v>
      </c>
      <c r="F97" s="5" t="s">
        <v>9</v>
      </c>
      <c r="G97" s="2" t="s">
        <v>20</v>
      </c>
    </row>
    <row r="98" spans="1:7" x14ac:dyDescent="0.2">
      <c r="A98" s="11">
        <v>80</v>
      </c>
      <c r="B98" s="5" t="s">
        <v>421</v>
      </c>
      <c r="C98" s="12">
        <v>75938175031</v>
      </c>
      <c r="D98" s="5" t="s">
        <v>422</v>
      </c>
      <c r="E98" s="8">
        <v>4479.3900000000003</v>
      </c>
      <c r="F98" s="5" t="s">
        <v>9</v>
      </c>
      <c r="G98" s="2" t="s">
        <v>20</v>
      </c>
    </row>
    <row r="99" spans="1:7" x14ac:dyDescent="0.2">
      <c r="A99" s="11">
        <v>81</v>
      </c>
      <c r="B99" s="5" t="s">
        <v>271</v>
      </c>
      <c r="C99" s="11">
        <v>64691033428</v>
      </c>
      <c r="D99" s="5" t="s">
        <v>278</v>
      </c>
      <c r="E99" s="8">
        <f>122.18+1447.1</f>
        <v>1569.28</v>
      </c>
      <c r="F99" s="5" t="s">
        <v>9</v>
      </c>
      <c r="G99" s="2" t="s">
        <v>20</v>
      </c>
    </row>
    <row r="100" spans="1:7" x14ac:dyDescent="0.2">
      <c r="A100" s="11">
        <v>82</v>
      </c>
      <c r="B100" s="5" t="s">
        <v>326</v>
      </c>
      <c r="C100" s="11">
        <v>10613092990</v>
      </c>
      <c r="D100" s="5" t="s">
        <v>327</v>
      </c>
      <c r="E100" s="8">
        <v>1492.98</v>
      </c>
      <c r="F100" s="5" t="s">
        <v>9</v>
      </c>
      <c r="G100" s="2" t="s">
        <v>20</v>
      </c>
    </row>
    <row r="101" spans="1:7" x14ac:dyDescent="0.2">
      <c r="A101" s="11">
        <v>83</v>
      </c>
      <c r="B101" s="5" t="s">
        <v>386</v>
      </c>
      <c r="C101" s="11">
        <v>66722390209</v>
      </c>
      <c r="D101" s="5" t="s">
        <v>388</v>
      </c>
      <c r="E101" s="8">
        <v>7056.25</v>
      </c>
      <c r="F101" s="5" t="s">
        <v>9</v>
      </c>
      <c r="G101" s="2" t="s">
        <v>387</v>
      </c>
    </row>
    <row r="102" spans="1:7" x14ac:dyDescent="0.2">
      <c r="A102" s="11">
        <v>84</v>
      </c>
      <c r="B102" s="5" t="s">
        <v>323</v>
      </c>
      <c r="C102" s="12" t="s">
        <v>325</v>
      </c>
      <c r="D102" s="5" t="s">
        <v>324</v>
      </c>
      <c r="E102" s="8">
        <v>395</v>
      </c>
      <c r="F102" s="5" t="s">
        <v>9</v>
      </c>
      <c r="G102" s="2" t="s">
        <v>20</v>
      </c>
    </row>
    <row r="103" spans="1:7" x14ac:dyDescent="0.2">
      <c r="A103" s="11">
        <v>85</v>
      </c>
      <c r="B103" s="5" t="s">
        <v>389</v>
      </c>
      <c r="C103" s="11" t="s">
        <v>391</v>
      </c>
      <c r="D103" s="5" t="s">
        <v>390</v>
      </c>
      <c r="E103" s="8">
        <v>100.2</v>
      </c>
      <c r="F103" s="5" t="s">
        <v>9</v>
      </c>
      <c r="G103" s="2" t="s">
        <v>20</v>
      </c>
    </row>
    <row r="104" spans="1:7" x14ac:dyDescent="0.2">
      <c r="A104" s="11">
        <v>86</v>
      </c>
      <c r="B104" s="5" t="s">
        <v>102</v>
      </c>
      <c r="C104" s="11">
        <v>95449332614</v>
      </c>
      <c r="D104" s="5" t="s">
        <v>125</v>
      </c>
      <c r="E104" s="8">
        <v>88.5</v>
      </c>
      <c r="F104" s="5" t="s">
        <v>9</v>
      </c>
      <c r="G104" s="2" t="s">
        <v>20</v>
      </c>
    </row>
    <row r="105" spans="1:7" x14ac:dyDescent="0.2">
      <c r="A105" s="11">
        <v>87</v>
      </c>
      <c r="B105" s="5" t="s">
        <v>425</v>
      </c>
      <c r="C105" s="12">
        <v>21266239879</v>
      </c>
      <c r="D105" s="9" t="s">
        <v>426</v>
      </c>
      <c r="E105" s="8">
        <f>61.45+40.29</f>
        <v>101.74000000000001</v>
      </c>
      <c r="F105" s="5" t="s">
        <v>9</v>
      </c>
      <c r="G105" s="2" t="s">
        <v>20</v>
      </c>
    </row>
    <row r="106" spans="1:7" x14ac:dyDescent="0.2">
      <c r="A106" s="11">
        <v>88</v>
      </c>
      <c r="B106" s="5" t="s">
        <v>437</v>
      </c>
      <c r="C106" s="12">
        <v>68372221964</v>
      </c>
      <c r="D106" s="5" t="s">
        <v>438</v>
      </c>
      <c r="E106" s="8">
        <v>32.68</v>
      </c>
      <c r="F106" s="5" t="s">
        <v>9</v>
      </c>
      <c r="G106" s="2" t="s">
        <v>20</v>
      </c>
    </row>
    <row r="107" spans="1:7" x14ac:dyDescent="0.2">
      <c r="A107" s="11">
        <v>89</v>
      </c>
      <c r="B107" s="5" t="s">
        <v>248</v>
      </c>
      <c r="C107" s="11" t="s">
        <v>249</v>
      </c>
      <c r="D107" s="5" t="s">
        <v>250</v>
      </c>
      <c r="E107" s="8">
        <f>266.64</f>
        <v>266.64</v>
      </c>
      <c r="F107" s="5" t="s">
        <v>9</v>
      </c>
      <c r="G107" s="2" t="s">
        <v>20</v>
      </c>
    </row>
    <row r="108" spans="1:7" x14ac:dyDescent="0.2">
      <c r="A108" s="11">
        <v>90</v>
      </c>
      <c r="B108" s="5" t="s">
        <v>21</v>
      </c>
      <c r="C108" s="11">
        <v>55622004611</v>
      </c>
      <c r="D108" s="5" t="s">
        <v>26</v>
      </c>
      <c r="E108" s="8">
        <f>119.38+193.75</f>
        <v>313.13</v>
      </c>
      <c r="F108" s="5" t="s">
        <v>9</v>
      </c>
      <c r="G108" s="2" t="s">
        <v>20</v>
      </c>
    </row>
    <row r="109" spans="1:7" x14ac:dyDescent="0.2">
      <c r="A109" s="11">
        <v>91</v>
      </c>
      <c r="B109" s="5" t="s">
        <v>400</v>
      </c>
      <c r="C109" s="11" t="s">
        <v>402</v>
      </c>
      <c r="D109" s="5" t="s">
        <v>401</v>
      </c>
      <c r="E109" s="8">
        <v>489.62</v>
      </c>
      <c r="F109" s="5" t="s">
        <v>9</v>
      </c>
      <c r="G109" s="2" t="s">
        <v>20</v>
      </c>
    </row>
    <row r="110" spans="1:7" x14ac:dyDescent="0.2">
      <c r="A110" s="11">
        <v>92</v>
      </c>
      <c r="B110" s="5" t="s">
        <v>403</v>
      </c>
      <c r="C110" s="11">
        <v>96536434016</v>
      </c>
      <c r="D110" s="5" t="s">
        <v>404</v>
      </c>
      <c r="E110" s="8">
        <v>44.25</v>
      </c>
      <c r="F110" s="5" t="s">
        <v>9</v>
      </c>
      <c r="G110" s="2" t="s">
        <v>20</v>
      </c>
    </row>
    <row r="111" spans="1:7" x14ac:dyDescent="0.2">
      <c r="A111" s="11">
        <v>93</v>
      </c>
      <c r="B111" s="5" t="s">
        <v>285</v>
      </c>
      <c r="C111" s="11">
        <v>28370392421</v>
      </c>
      <c r="D111" s="5" t="s">
        <v>284</v>
      </c>
      <c r="E111" s="8">
        <f>50.63+132.55</f>
        <v>183.18</v>
      </c>
      <c r="F111" s="5" t="s">
        <v>9</v>
      </c>
      <c r="G111" s="2" t="s">
        <v>286</v>
      </c>
    </row>
    <row r="112" spans="1:7" x14ac:dyDescent="0.2">
      <c r="A112" s="11">
        <v>94</v>
      </c>
      <c r="B112" s="5" t="s">
        <v>88</v>
      </c>
      <c r="C112" s="11" t="s">
        <v>115</v>
      </c>
      <c r="D112" s="5" t="s">
        <v>89</v>
      </c>
      <c r="E112" s="8">
        <f>10000+13513.46</f>
        <v>23513.46</v>
      </c>
      <c r="F112" s="5" t="s">
        <v>9</v>
      </c>
      <c r="G112" s="2" t="s">
        <v>20</v>
      </c>
    </row>
    <row r="113" spans="1:7" x14ac:dyDescent="0.2">
      <c r="A113" s="11">
        <v>95</v>
      </c>
      <c r="B113" s="5" t="s">
        <v>90</v>
      </c>
      <c r="C113" s="11">
        <v>58353015102</v>
      </c>
      <c r="D113" s="5" t="s">
        <v>116</v>
      </c>
      <c r="E113" s="8">
        <f>112.5+141.28</f>
        <v>253.78</v>
      </c>
      <c r="F113" s="5" t="s">
        <v>9</v>
      </c>
      <c r="G113" s="2" t="s">
        <v>20</v>
      </c>
    </row>
    <row r="114" spans="1:7" x14ac:dyDescent="0.2">
      <c r="A114" s="11">
        <v>96</v>
      </c>
      <c r="B114" s="36" t="s">
        <v>414</v>
      </c>
      <c r="C114" s="37">
        <v>41025754642</v>
      </c>
      <c r="D114" s="36" t="s">
        <v>415</v>
      </c>
      <c r="E114" s="8">
        <f>437.5</f>
        <v>437.5</v>
      </c>
      <c r="F114" s="5" t="s">
        <v>9</v>
      </c>
      <c r="G114" s="2" t="s">
        <v>55</v>
      </c>
    </row>
    <row r="115" spans="1:7" x14ac:dyDescent="0.2">
      <c r="A115" s="11">
        <v>97</v>
      </c>
      <c r="B115" s="5" t="s">
        <v>91</v>
      </c>
      <c r="C115" s="11">
        <v>62534176727</v>
      </c>
      <c r="D115" s="5" t="s">
        <v>117</v>
      </c>
      <c r="E115" s="8">
        <f>1521.26+4737.5</f>
        <v>6258.76</v>
      </c>
      <c r="F115" s="5" t="s">
        <v>9</v>
      </c>
      <c r="G115" s="2" t="s">
        <v>20</v>
      </c>
    </row>
    <row r="116" spans="1:7" x14ac:dyDescent="0.2">
      <c r="A116" s="11">
        <v>98</v>
      </c>
      <c r="B116" s="5" t="s">
        <v>92</v>
      </c>
      <c r="C116" s="11">
        <v>87682591133</v>
      </c>
      <c r="D116" s="5" t="s">
        <v>118</v>
      </c>
      <c r="E116" s="8">
        <f>11742.96+1043.75</f>
        <v>12786.71</v>
      </c>
      <c r="F116" s="5" t="s">
        <v>9</v>
      </c>
      <c r="G116" s="2" t="s">
        <v>20</v>
      </c>
    </row>
    <row r="117" spans="1:7" x14ac:dyDescent="0.2">
      <c r="A117" s="11">
        <v>99</v>
      </c>
      <c r="B117" s="5" t="s">
        <v>93</v>
      </c>
      <c r="C117" s="11">
        <v>19849957757</v>
      </c>
      <c r="D117" s="5" t="s">
        <v>120</v>
      </c>
      <c r="E117" s="8">
        <f>13676.73+19456.73</f>
        <v>33133.46</v>
      </c>
      <c r="F117" s="5" t="s">
        <v>9</v>
      </c>
      <c r="G117" s="2" t="s">
        <v>20</v>
      </c>
    </row>
    <row r="118" spans="1:7" x14ac:dyDescent="0.2">
      <c r="A118" s="11">
        <v>100</v>
      </c>
      <c r="B118" s="5" t="s">
        <v>94</v>
      </c>
      <c r="C118" s="11">
        <v>52233171260</v>
      </c>
      <c r="D118" s="5" t="s">
        <v>119</v>
      </c>
      <c r="E118" s="8">
        <f>8359.63</f>
        <v>8359.6299999999992</v>
      </c>
      <c r="F118" s="5" t="s">
        <v>9</v>
      </c>
      <c r="G118" s="2" t="s">
        <v>20</v>
      </c>
    </row>
    <row r="119" spans="1:7" x14ac:dyDescent="0.2">
      <c r="A119" s="11">
        <v>101</v>
      </c>
      <c r="B119" s="5" t="s">
        <v>15</v>
      </c>
      <c r="C119" s="11" t="s">
        <v>15</v>
      </c>
      <c r="D119" s="5" t="s">
        <v>15</v>
      </c>
      <c r="E119" s="8">
        <f>60775.32+4726.34+6880.75</f>
        <v>72382.41</v>
      </c>
      <c r="F119" s="5" t="s">
        <v>9</v>
      </c>
      <c r="G119" s="2" t="s">
        <v>97</v>
      </c>
    </row>
    <row r="120" spans="1:7" x14ac:dyDescent="0.2">
      <c r="A120" s="11">
        <v>102</v>
      </c>
      <c r="B120" s="5" t="s">
        <v>15</v>
      </c>
      <c r="C120" s="11" t="s">
        <v>15</v>
      </c>
      <c r="D120" s="5" t="s">
        <v>15</v>
      </c>
      <c r="E120" s="8">
        <v>1590</v>
      </c>
      <c r="F120" s="5" t="s">
        <v>9</v>
      </c>
      <c r="G120" s="2" t="s">
        <v>98</v>
      </c>
    </row>
    <row r="121" spans="1:7" x14ac:dyDescent="0.2">
      <c r="A121" s="11">
        <v>103</v>
      </c>
      <c r="B121" s="5" t="s">
        <v>100</v>
      </c>
      <c r="C121" s="11">
        <v>87311810356</v>
      </c>
      <c r="D121" s="5" t="s">
        <v>121</v>
      </c>
      <c r="E121" s="8">
        <f>290.5+2.32</f>
        <v>292.82</v>
      </c>
      <c r="F121" s="5" t="s">
        <v>9</v>
      </c>
      <c r="G121" s="2" t="s">
        <v>99</v>
      </c>
    </row>
    <row r="122" spans="1:7" x14ac:dyDescent="0.2">
      <c r="A122" s="11">
        <v>104</v>
      </c>
      <c r="B122" s="5" t="s">
        <v>122</v>
      </c>
      <c r="C122" s="11">
        <v>62969535840</v>
      </c>
      <c r="D122" s="5" t="s">
        <v>123</v>
      </c>
      <c r="E122" s="8">
        <f>24.18</f>
        <v>24.18</v>
      </c>
      <c r="F122" s="5" t="s">
        <v>9</v>
      </c>
      <c r="G122" s="2" t="s">
        <v>20</v>
      </c>
    </row>
    <row r="123" spans="1:7" ht="12.75" thickBot="1" x14ac:dyDescent="0.25">
      <c r="A123" s="11">
        <v>105</v>
      </c>
      <c r="B123" s="5" t="s">
        <v>105</v>
      </c>
      <c r="C123" s="11">
        <v>22694857747</v>
      </c>
      <c r="D123" s="5" t="s">
        <v>127</v>
      </c>
      <c r="E123" s="8">
        <v>3466.8</v>
      </c>
      <c r="F123" s="5" t="s">
        <v>9</v>
      </c>
      <c r="G123" s="2" t="s">
        <v>106</v>
      </c>
    </row>
    <row r="124" spans="1:7" x14ac:dyDescent="0.2">
      <c r="A124" s="65">
        <v>106</v>
      </c>
      <c r="B124" s="67" t="s">
        <v>107</v>
      </c>
      <c r="C124" s="65">
        <v>34421776805</v>
      </c>
      <c r="D124" s="67" t="s">
        <v>128</v>
      </c>
      <c r="E124" s="16">
        <v>122.5</v>
      </c>
      <c r="F124" s="67" t="s">
        <v>9</v>
      </c>
      <c r="G124" s="26" t="s">
        <v>108</v>
      </c>
    </row>
    <row r="125" spans="1:7" ht="12.75" thickBot="1" x14ac:dyDescent="0.25">
      <c r="A125" s="66"/>
      <c r="B125" s="68"/>
      <c r="C125" s="66"/>
      <c r="D125" s="68"/>
      <c r="E125" s="18">
        <v>884.87</v>
      </c>
      <c r="F125" s="68"/>
      <c r="G125" s="27" t="s">
        <v>20</v>
      </c>
    </row>
    <row r="126" spans="1:7" x14ac:dyDescent="0.2">
      <c r="A126" s="31">
        <v>107</v>
      </c>
      <c r="B126" s="28" t="s">
        <v>15</v>
      </c>
      <c r="C126" s="31" t="s">
        <v>15</v>
      </c>
      <c r="D126" s="28" t="s">
        <v>15</v>
      </c>
      <c r="E126" s="17">
        <v>176.88</v>
      </c>
      <c r="F126" s="28" t="s">
        <v>9</v>
      </c>
      <c r="G126" s="29" t="s">
        <v>282</v>
      </c>
    </row>
    <row r="127" spans="1:7" x14ac:dyDescent="0.2">
      <c r="A127" s="11">
        <v>108</v>
      </c>
      <c r="B127" s="5" t="s">
        <v>15</v>
      </c>
      <c r="C127" s="11" t="s">
        <v>15</v>
      </c>
      <c r="D127" s="5" t="s">
        <v>15</v>
      </c>
      <c r="E127" s="8">
        <v>410.22</v>
      </c>
      <c r="F127" s="5" t="s">
        <v>9</v>
      </c>
      <c r="G127" s="2" t="s">
        <v>109</v>
      </c>
    </row>
    <row r="128" spans="1:7" x14ac:dyDescent="0.2">
      <c r="A128" s="11">
        <v>109</v>
      </c>
      <c r="B128" s="5" t="s">
        <v>372</v>
      </c>
      <c r="C128" s="11">
        <v>42525184727</v>
      </c>
      <c r="D128" s="5" t="s">
        <v>129</v>
      </c>
      <c r="E128" s="8">
        <v>195</v>
      </c>
      <c r="F128" s="5" t="s">
        <v>9</v>
      </c>
      <c r="G128" s="2" t="s">
        <v>95</v>
      </c>
    </row>
    <row r="129" spans="1:9" x14ac:dyDescent="0.2">
      <c r="A129" s="11">
        <v>110</v>
      </c>
      <c r="B129" s="5" t="s">
        <v>15</v>
      </c>
      <c r="C129" s="11" t="s">
        <v>15</v>
      </c>
      <c r="D129" s="5" t="s">
        <v>15</v>
      </c>
      <c r="E129" s="8">
        <v>140</v>
      </c>
      <c r="F129" s="5" t="s">
        <v>9</v>
      </c>
      <c r="G129" s="2" t="s">
        <v>371</v>
      </c>
    </row>
    <row r="130" spans="1:9" x14ac:dyDescent="0.2">
      <c r="A130" s="11">
        <v>111</v>
      </c>
      <c r="B130" s="5" t="s">
        <v>130</v>
      </c>
      <c r="C130" s="11">
        <v>49800593791</v>
      </c>
      <c r="D130" s="5" t="s">
        <v>132</v>
      </c>
      <c r="E130" s="8">
        <f>934.44+171.25+3000+2000+1044</f>
        <v>7149.6900000000005</v>
      </c>
      <c r="F130" s="5" t="s">
        <v>9</v>
      </c>
      <c r="G130" s="2" t="s">
        <v>405</v>
      </c>
    </row>
    <row r="131" spans="1:9" x14ac:dyDescent="0.2">
      <c r="A131" s="11">
        <v>112</v>
      </c>
      <c r="B131" s="36" t="s">
        <v>133</v>
      </c>
      <c r="C131" s="37">
        <v>47428597158</v>
      </c>
      <c r="D131" s="36" t="s">
        <v>135</v>
      </c>
      <c r="E131" s="8">
        <f>313.75+1579.24+3050</f>
        <v>4942.99</v>
      </c>
      <c r="F131" s="36" t="s">
        <v>9</v>
      </c>
      <c r="G131" s="2" t="s">
        <v>20</v>
      </c>
      <c r="I131" s="13"/>
    </row>
    <row r="132" spans="1:9" x14ac:dyDescent="0.2">
      <c r="A132" s="11">
        <v>113</v>
      </c>
      <c r="B132" s="5" t="s">
        <v>134</v>
      </c>
      <c r="C132" s="11">
        <v>26004523816</v>
      </c>
      <c r="D132" s="5" t="s">
        <v>136</v>
      </c>
      <c r="E132" s="8">
        <f>260.93</f>
        <v>260.93</v>
      </c>
      <c r="F132" s="5" t="s">
        <v>9</v>
      </c>
      <c r="G132" s="2" t="s">
        <v>20</v>
      </c>
    </row>
    <row r="133" spans="1:9" x14ac:dyDescent="0.2">
      <c r="A133" s="11">
        <v>114</v>
      </c>
      <c r="B133" s="5" t="s">
        <v>137</v>
      </c>
      <c r="C133" s="12" t="s">
        <v>139</v>
      </c>
      <c r="D133" s="5" t="s">
        <v>138</v>
      </c>
      <c r="E133" s="8">
        <f>196.45</f>
        <v>196.45</v>
      </c>
      <c r="F133" s="5" t="s">
        <v>9</v>
      </c>
      <c r="G133" s="2" t="s">
        <v>70</v>
      </c>
    </row>
    <row r="134" spans="1:9" x14ac:dyDescent="0.2">
      <c r="A134" s="11">
        <v>115</v>
      </c>
      <c r="B134" s="5" t="s">
        <v>141</v>
      </c>
      <c r="C134" s="11">
        <v>63988426425</v>
      </c>
      <c r="D134" s="5" t="s">
        <v>142</v>
      </c>
      <c r="E134" s="8">
        <f>5419.69+3657.5+1806.56+5462.06+165+20673.2</f>
        <v>37184.009999999995</v>
      </c>
      <c r="F134" s="5" t="s">
        <v>9</v>
      </c>
      <c r="G134" s="2" t="s">
        <v>20</v>
      </c>
    </row>
    <row r="135" spans="1:9" x14ac:dyDescent="0.2">
      <c r="A135" s="11">
        <v>116</v>
      </c>
      <c r="B135" s="5" t="s">
        <v>143</v>
      </c>
      <c r="C135" s="11">
        <v>64546066176</v>
      </c>
      <c r="D135" s="5" t="s">
        <v>144</v>
      </c>
      <c r="E135" s="8">
        <f>64.56+1499.61</f>
        <v>1564.1699999999998</v>
      </c>
      <c r="F135" s="5" t="s">
        <v>9</v>
      </c>
      <c r="G135" s="2" t="s">
        <v>20</v>
      </c>
    </row>
    <row r="136" spans="1:9" x14ac:dyDescent="0.2">
      <c r="A136" s="11">
        <v>117</v>
      </c>
      <c r="B136" s="5" t="s">
        <v>313</v>
      </c>
      <c r="C136" s="11">
        <v>30568370357</v>
      </c>
      <c r="D136" s="5" t="s">
        <v>314</v>
      </c>
      <c r="E136" s="15">
        <f>168.75</f>
        <v>168.75</v>
      </c>
      <c r="F136" s="19" t="s">
        <v>9</v>
      </c>
      <c r="G136" s="25" t="s">
        <v>147</v>
      </c>
    </row>
    <row r="137" spans="1:9" x14ac:dyDescent="0.2">
      <c r="A137" s="11">
        <v>118</v>
      </c>
      <c r="B137" s="36" t="s">
        <v>151</v>
      </c>
      <c r="C137" s="37">
        <v>65952859647</v>
      </c>
      <c r="D137" s="36" t="s">
        <v>152</v>
      </c>
      <c r="E137" s="8">
        <f>10612.5+23436.86</f>
        <v>34049.360000000001</v>
      </c>
      <c r="F137" s="36" t="s">
        <v>9</v>
      </c>
      <c r="G137" s="2" t="s">
        <v>20</v>
      </c>
    </row>
    <row r="138" spans="1:9" x14ac:dyDescent="0.2">
      <c r="A138" s="11">
        <v>119</v>
      </c>
      <c r="B138" s="5" t="s">
        <v>153</v>
      </c>
      <c r="C138" s="11">
        <v>83416546499</v>
      </c>
      <c r="D138" s="5" t="s">
        <v>156</v>
      </c>
      <c r="E138" s="8">
        <v>37.49</v>
      </c>
      <c r="F138" s="5" t="s">
        <v>9</v>
      </c>
      <c r="G138" s="2" t="s">
        <v>43</v>
      </c>
    </row>
    <row r="139" spans="1:9" x14ac:dyDescent="0.2">
      <c r="A139" s="11">
        <v>120</v>
      </c>
      <c r="B139" s="5" t="s">
        <v>154</v>
      </c>
      <c r="C139" s="11">
        <v>72836081238</v>
      </c>
      <c r="D139" s="5" t="s">
        <v>155</v>
      </c>
      <c r="E139" s="8">
        <f>3062.5+4000</f>
        <v>7062.5</v>
      </c>
      <c r="F139" s="5" t="s">
        <v>9</v>
      </c>
      <c r="G139" s="2" t="s">
        <v>20</v>
      </c>
    </row>
    <row r="140" spans="1:9" x14ac:dyDescent="0.2">
      <c r="A140" s="11">
        <v>121</v>
      </c>
      <c r="B140" s="5" t="s">
        <v>353</v>
      </c>
      <c r="C140" s="11">
        <v>35140755222</v>
      </c>
      <c r="D140" s="5" t="s">
        <v>354</v>
      </c>
      <c r="E140" s="8">
        <v>264.06</v>
      </c>
      <c r="F140" s="5" t="s">
        <v>9</v>
      </c>
      <c r="G140" s="2" t="s">
        <v>20</v>
      </c>
    </row>
    <row r="141" spans="1:9" x14ac:dyDescent="0.2">
      <c r="A141" s="11">
        <v>122</v>
      </c>
      <c r="B141" s="5" t="s">
        <v>157</v>
      </c>
      <c r="C141" s="11" t="s">
        <v>158</v>
      </c>
      <c r="D141" s="5" t="s">
        <v>159</v>
      </c>
      <c r="E141" s="8">
        <f>7072.74+8830.84</f>
        <v>15903.58</v>
      </c>
      <c r="F141" s="5" t="s">
        <v>9</v>
      </c>
      <c r="G141" s="2" t="s">
        <v>20</v>
      </c>
    </row>
    <row r="142" spans="1:9" x14ac:dyDescent="0.2">
      <c r="A142" s="11">
        <v>123</v>
      </c>
      <c r="B142" s="5" t="s">
        <v>160</v>
      </c>
      <c r="C142" s="11" t="s">
        <v>162</v>
      </c>
      <c r="D142" s="5" t="s">
        <v>161</v>
      </c>
      <c r="E142" s="8">
        <v>1181.1400000000001</v>
      </c>
      <c r="F142" s="5" t="s">
        <v>9</v>
      </c>
      <c r="G142" s="2" t="s">
        <v>20</v>
      </c>
    </row>
    <row r="143" spans="1:9" x14ac:dyDescent="0.2">
      <c r="A143" s="11">
        <v>124</v>
      </c>
      <c r="B143" s="5" t="s">
        <v>163</v>
      </c>
      <c r="C143" s="12" t="s">
        <v>165</v>
      </c>
      <c r="D143" s="5" t="s">
        <v>164</v>
      </c>
      <c r="E143" s="8">
        <f>2700+2000</f>
        <v>4700</v>
      </c>
      <c r="F143" s="5" t="s">
        <v>9</v>
      </c>
      <c r="G143" s="2" t="s">
        <v>20</v>
      </c>
    </row>
    <row r="144" spans="1:9" x14ac:dyDescent="0.2">
      <c r="A144" s="11">
        <v>125</v>
      </c>
      <c r="B144" s="5" t="s">
        <v>166</v>
      </c>
      <c r="C144" s="11">
        <v>95243482140</v>
      </c>
      <c r="D144" s="5" t="s">
        <v>167</v>
      </c>
      <c r="E144" s="8">
        <f>239.95+365.38</f>
        <v>605.32999999999993</v>
      </c>
      <c r="F144" s="5" t="s">
        <v>9</v>
      </c>
      <c r="G144" s="2" t="s">
        <v>20</v>
      </c>
    </row>
    <row r="145" spans="1:10" x14ac:dyDescent="0.2">
      <c r="A145" s="11">
        <v>126</v>
      </c>
      <c r="B145" s="5" t="s">
        <v>413</v>
      </c>
      <c r="C145" s="11">
        <v>74867487620</v>
      </c>
      <c r="D145" s="5" t="s">
        <v>168</v>
      </c>
      <c r="E145" s="8">
        <f>28.15+350.75+1280.5+1934.38</f>
        <v>3593.78</v>
      </c>
      <c r="F145" s="5" t="s">
        <v>9</v>
      </c>
      <c r="G145" s="2" t="s">
        <v>20</v>
      </c>
    </row>
    <row r="146" spans="1:10" x14ac:dyDescent="0.2">
      <c r="A146" s="11">
        <v>127</v>
      </c>
      <c r="B146" s="5" t="s">
        <v>169</v>
      </c>
      <c r="C146" s="11">
        <v>98656691838</v>
      </c>
      <c r="D146" s="5" t="s">
        <v>170</v>
      </c>
      <c r="E146" s="8">
        <v>2975</v>
      </c>
      <c r="F146" s="5" t="s">
        <v>9</v>
      </c>
      <c r="G146" s="2" t="s">
        <v>20</v>
      </c>
    </row>
    <row r="147" spans="1:10" x14ac:dyDescent="0.2">
      <c r="A147" s="11">
        <v>128</v>
      </c>
      <c r="B147" s="5" t="s">
        <v>171</v>
      </c>
      <c r="C147" s="11">
        <v>15907062900</v>
      </c>
      <c r="D147" s="5" t="s">
        <v>173</v>
      </c>
      <c r="E147" s="8">
        <v>13454.86</v>
      </c>
      <c r="F147" s="5" t="s">
        <v>9</v>
      </c>
      <c r="G147" s="2" t="s">
        <v>172</v>
      </c>
    </row>
    <row r="148" spans="1:10" x14ac:dyDescent="0.2">
      <c r="A148" s="11">
        <v>129</v>
      </c>
      <c r="B148" s="5" t="s">
        <v>439</v>
      </c>
      <c r="C148" s="11">
        <v>54818474035</v>
      </c>
      <c r="D148" s="5" t="s">
        <v>343</v>
      </c>
      <c r="E148" s="8">
        <v>55</v>
      </c>
      <c r="F148" s="5" t="s">
        <v>9</v>
      </c>
      <c r="G148" s="2" t="s">
        <v>174</v>
      </c>
    </row>
    <row r="149" spans="1:10" x14ac:dyDescent="0.2">
      <c r="A149" s="11">
        <v>130</v>
      </c>
      <c r="B149" s="5" t="s">
        <v>359</v>
      </c>
      <c r="C149" s="11">
        <v>98164456048</v>
      </c>
      <c r="D149" s="5" t="s">
        <v>360</v>
      </c>
      <c r="E149" s="8">
        <v>1624.95</v>
      </c>
      <c r="F149" s="5" t="s">
        <v>9</v>
      </c>
      <c r="G149" s="2" t="s">
        <v>104</v>
      </c>
    </row>
    <row r="150" spans="1:10" x14ac:dyDescent="0.2">
      <c r="A150" s="11">
        <v>131</v>
      </c>
      <c r="B150" s="5" t="s">
        <v>175</v>
      </c>
      <c r="C150" s="11">
        <v>97994010225</v>
      </c>
      <c r="D150" s="5" t="s">
        <v>176</v>
      </c>
      <c r="E150" s="8">
        <f>150+32.63</f>
        <v>182.63</v>
      </c>
      <c r="F150" s="5" t="s">
        <v>9</v>
      </c>
      <c r="G150" s="2" t="s">
        <v>20</v>
      </c>
    </row>
    <row r="151" spans="1:10" x14ac:dyDescent="0.2">
      <c r="A151" s="11">
        <v>132</v>
      </c>
      <c r="B151" s="5" t="s">
        <v>177</v>
      </c>
      <c r="C151" s="11">
        <v>22740118957</v>
      </c>
      <c r="D151" s="5" t="s">
        <v>178</v>
      </c>
      <c r="E151" s="8">
        <f>1570.13+845.63</f>
        <v>2415.7600000000002</v>
      </c>
      <c r="F151" s="5" t="s">
        <v>9</v>
      </c>
      <c r="G151" s="2" t="s">
        <v>20</v>
      </c>
    </row>
    <row r="152" spans="1:10" x14ac:dyDescent="0.2">
      <c r="A152" s="11">
        <v>133</v>
      </c>
      <c r="B152" s="5" t="s">
        <v>179</v>
      </c>
      <c r="C152" s="11">
        <v>78969071801</v>
      </c>
      <c r="D152" s="5" t="s">
        <v>180</v>
      </c>
      <c r="E152" s="8">
        <f>564.31+4000</f>
        <v>4564.3099999999995</v>
      </c>
      <c r="F152" s="5" t="s">
        <v>9</v>
      </c>
      <c r="G152" s="2" t="s">
        <v>20</v>
      </c>
      <c r="J152" s="13"/>
    </row>
    <row r="153" spans="1:10" x14ac:dyDescent="0.2">
      <c r="A153" s="11">
        <v>134</v>
      </c>
      <c r="B153" s="36" t="s">
        <v>410</v>
      </c>
      <c r="C153" s="37">
        <v>80653493587</v>
      </c>
      <c r="D153" s="36" t="s">
        <v>411</v>
      </c>
      <c r="E153" s="8">
        <v>990</v>
      </c>
      <c r="F153" s="5" t="s">
        <v>9</v>
      </c>
      <c r="G153" s="2" t="s">
        <v>20</v>
      </c>
    </row>
    <row r="154" spans="1:10" x14ac:dyDescent="0.2">
      <c r="A154" s="11">
        <v>135</v>
      </c>
      <c r="B154" s="19" t="s">
        <v>184</v>
      </c>
      <c r="C154" s="30">
        <v>42769559951</v>
      </c>
      <c r="D154" s="19" t="s">
        <v>185</v>
      </c>
      <c r="E154" s="15">
        <f>1628.45+5000</f>
        <v>6628.45</v>
      </c>
      <c r="F154" s="19" t="s">
        <v>9</v>
      </c>
      <c r="G154" s="25" t="s">
        <v>20</v>
      </c>
    </row>
    <row r="155" spans="1:10" x14ac:dyDescent="0.2">
      <c r="A155" s="11">
        <v>136</v>
      </c>
      <c r="B155" s="36" t="s">
        <v>186</v>
      </c>
      <c r="C155" s="37">
        <v>66181750806</v>
      </c>
      <c r="D155" s="36" t="s">
        <v>136</v>
      </c>
      <c r="E155" s="8">
        <v>287.85000000000002</v>
      </c>
      <c r="F155" s="36" t="s">
        <v>9</v>
      </c>
      <c r="G155" s="2" t="s">
        <v>187</v>
      </c>
    </row>
    <row r="156" spans="1:10" x14ac:dyDescent="0.2">
      <c r="A156" s="11">
        <v>137</v>
      </c>
      <c r="B156" s="5" t="s">
        <v>188</v>
      </c>
      <c r="C156" s="11">
        <v>48249084626</v>
      </c>
      <c r="D156" s="5" t="s">
        <v>189</v>
      </c>
      <c r="E156" s="8">
        <f>61.18</f>
        <v>61.18</v>
      </c>
      <c r="F156" s="5" t="s">
        <v>9</v>
      </c>
      <c r="G156" s="2" t="s">
        <v>20</v>
      </c>
    </row>
    <row r="157" spans="1:10" x14ac:dyDescent="0.2">
      <c r="A157" s="11">
        <v>138</v>
      </c>
      <c r="B157" s="5" t="s">
        <v>190</v>
      </c>
      <c r="C157" s="11">
        <v>26901839603</v>
      </c>
      <c r="D157" s="5" t="s">
        <v>191</v>
      </c>
      <c r="E157" s="8">
        <f>572.77</f>
        <v>572.77</v>
      </c>
      <c r="F157" s="5" t="s">
        <v>9</v>
      </c>
      <c r="G157" s="2" t="s">
        <v>20</v>
      </c>
    </row>
    <row r="158" spans="1:10" x14ac:dyDescent="0.2">
      <c r="A158" s="11">
        <v>139</v>
      </c>
      <c r="B158" s="5" t="s">
        <v>192</v>
      </c>
      <c r="C158" s="11">
        <v>52641439848</v>
      </c>
      <c r="D158" s="5" t="s">
        <v>193</v>
      </c>
      <c r="E158" s="8">
        <v>220.11</v>
      </c>
      <c r="F158" s="5" t="s">
        <v>9</v>
      </c>
      <c r="G158" s="2" t="s">
        <v>20</v>
      </c>
    </row>
    <row r="159" spans="1:10" x14ac:dyDescent="0.2">
      <c r="A159" s="11">
        <v>140</v>
      </c>
      <c r="B159" s="5" t="s">
        <v>361</v>
      </c>
      <c r="C159" s="11">
        <v>58421021869</v>
      </c>
      <c r="D159" s="5" t="s">
        <v>362</v>
      </c>
      <c r="E159" s="8">
        <f>5670.88+5845.8</f>
        <v>11516.68</v>
      </c>
      <c r="F159" s="5" t="s">
        <v>9</v>
      </c>
      <c r="G159" s="2" t="s">
        <v>20</v>
      </c>
    </row>
    <row r="160" spans="1:10" x14ac:dyDescent="0.2">
      <c r="A160" s="11">
        <v>141</v>
      </c>
      <c r="B160" s="5" t="s">
        <v>196</v>
      </c>
      <c r="C160" s="11">
        <v>60365429880</v>
      </c>
      <c r="D160" s="5" t="s">
        <v>197</v>
      </c>
      <c r="E160" s="8">
        <f>261.36+1063.83+76.13</f>
        <v>1401.3200000000002</v>
      </c>
      <c r="F160" s="5" t="s">
        <v>9</v>
      </c>
      <c r="G160" s="2" t="s">
        <v>20</v>
      </c>
    </row>
    <row r="161" spans="1:7" x14ac:dyDescent="0.2">
      <c r="A161" s="11">
        <v>142</v>
      </c>
      <c r="B161" s="5" t="s">
        <v>201</v>
      </c>
      <c r="C161" s="11">
        <v>37879152548</v>
      </c>
      <c r="D161" s="5" t="s">
        <v>202</v>
      </c>
      <c r="E161" s="8">
        <f>1032.75</f>
        <v>1032.75</v>
      </c>
      <c r="F161" s="5" t="s">
        <v>9</v>
      </c>
      <c r="G161" s="2" t="s">
        <v>20</v>
      </c>
    </row>
    <row r="162" spans="1:7" x14ac:dyDescent="0.2">
      <c r="A162" s="11">
        <v>143</v>
      </c>
      <c r="B162" s="5" t="s">
        <v>203</v>
      </c>
      <c r="C162" s="11">
        <v>90439696130</v>
      </c>
      <c r="D162" s="5" t="s">
        <v>204</v>
      </c>
      <c r="E162" s="8">
        <v>585.36</v>
      </c>
      <c r="F162" s="5" t="s">
        <v>9</v>
      </c>
      <c r="G162" s="2" t="s">
        <v>20</v>
      </c>
    </row>
    <row r="163" spans="1:7" x14ac:dyDescent="0.2">
      <c r="A163" s="11">
        <v>144</v>
      </c>
      <c r="B163" s="5" t="s">
        <v>205</v>
      </c>
      <c r="C163" s="11">
        <v>39048902955</v>
      </c>
      <c r="D163" s="5" t="s">
        <v>206</v>
      </c>
      <c r="E163" s="8">
        <v>514.82000000000005</v>
      </c>
      <c r="F163" s="5" t="s">
        <v>9</v>
      </c>
      <c r="G163" s="2" t="s">
        <v>43</v>
      </c>
    </row>
    <row r="164" spans="1:7" x14ac:dyDescent="0.2">
      <c r="A164" s="11">
        <v>145</v>
      </c>
      <c r="B164" s="5" t="s">
        <v>207</v>
      </c>
      <c r="C164" s="11">
        <v>85375838060</v>
      </c>
      <c r="D164" s="5" t="s">
        <v>208</v>
      </c>
      <c r="E164" s="8">
        <f>28.55</f>
        <v>28.55</v>
      </c>
      <c r="F164" s="5" t="s">
        <v>9</v>
      </c>
      <c r="G164" s="2" t="s">
        <v>43</v>
      </c>
    </row>
    <row r="165" spans="1:7" x14ac:dyDescent="0.2">
      <c r="A165" s="11">
        <v>146</v>
      </c>
      <c r="B165" s="5" t="s">
        <v>209</v>
      </c>
      <c r="C165" s="11">
        <v>55614719992</v>
      </c>
      <c r="D165" s="5" t="s">
        <v>210</v>
      </c>
      <c r="E165" s="8">
        <f>841.9</f>
        <v>841.9</v>
      </c>
      <c r="F165" s="5" t="s">
        <v>9</v>
      </c>
      <c r="G165" s="2" t="s">
        <v>20</v>
      </c>
    </row>
    <row r="166" spans="1:7" x14ac:dyDescent="0.2">
      <c r="A166" s="11">
        <v>147</v>
      </c>
      <c r="B166" s="5" t="s">
        <v>211</v>
      </c>
      <c r="C166" s="11">
        <v>95325472047</v>
      </c>
      <c r="D166" s="5" t="s">
        <v>212</v>
      </c>
      <c r="E166" s="8">
        <f>20000</f>
        <v>20000</v>
      </c>
      <c r="F166" s="5" t="s">
        <v>9</v>
      </c>
      <c r="G166" s="2" t="s">
        <v>20</v>
      </c>
    </row>
    <row r="167" spans="1:7" x14ac:dyDescent="0.2">
      <c r="A167" s="11">
        <v>148</v>
      </c>
      <c r="B167" s="5" t="s">
        <v>213</v>
      </c>
      <c r="C167" s="11">
        <v>38411868043</v>
      </c>
      <c r="D167" s="5" t="s">
        <v>214</v>
      </c>
      <c r="E167" s="8">
        <f>3600+12000</f>
        <v>15600</v>
      </c>
      <c r="F167" s="5" t="s">
        <v>9</v>
      </c>
      <c r="G167" s="2" t="s">
        <v>20</v>
      </c>
    </row>
    <row r="168" spans="1:7" x14ac:dyDescent="0.2">
      <c r="A168" s="11">
        <v>149</v>
      </c>
      <c r="B168" s="5" t="s">
        <v>215</v>
      </c>
      <c r="C168" s="11">
        <v>110752628</v>
      </c>
      <c r="D168" s="5" t="s">
        <v>218</v>
      </c>
      <c r="E168" s="8">
        <f>306.7+5134.85+10000</f>
        <v>15441.55</v>
      </c>
      <c r="F168" s="5" t="s">
        <v>9</v>
      </c>
      <c r="G168" s="2" t="s">
        <v>20</v>
      </c>
    </row>
    <row r="169" spans="1:7" x14ac:dyDescent="0.2">
      <c r="A169" s="11">
        <v>150</v>
      </c>
      <c r="B169" s="5" t="s">
        <v>216</v>
      </c>
      <c r="C169" s="11">
        <v>85611744662</v>
      </c>
      <c r="D169" s="5" t="s">
        <v>217</v>
      </c>
      <c r="E169" s="8">
        <f>1512.64+273</f>
        <v>1785.64</v>
      </c>
      <c r="F169" s="5" t="s">
        <v>9</v>
      </c>
      <c r="G169" s="2" t="s">
        <v>20</v>
      </c>
    </row>
    <row r="170" spans="1:7" x14ac:dyDescent="0.2">
      <c r="A170" s="11">
        <v>151</v>
      </c>
      <c r="B170" s="19" t="s">
        <v>369</v>
      </c>
      <c r="C170" s="35">
        <v>13278612358</v>
      </c>
      <c r="D170" s="19" t="s">
        <v>370</v>
      </c>
      <c r="E170" s="15">
        <f>243.75+800+468.75+312.5</f>
        <v>1825</v>
      </c>
      <c r="F170" s="19" t="s">
        <v>9</v>
      </c>
      <c r="G170" s="25" t="s">
        <v>131</v>
      </c>
    </row>
    <row r="171" spans="1:7" x14ac:dyDescent="0.2">
      <c r="A171" s="11">
        <v>152</v>
      </c>
      <c r="B171" s="5" t="s">
        <v>219</v>
      </c>
      <c r="C171" s="11">
        <v>53785632625</v>
      </c>
      <c r="D171" s="5" t="s">
        <v>220</v>
      </c>
      <c r="E171" s="8">
        <f>634.67</f>
        <v>634.66999999999996</v>
      </c>
      <c r="F171" s="5" t="s">
        <v>9</v>
      </c>
      <c r="G171" s="2" t="s">
        <v>20</v>
      </c>
    </row>
    <row r="172" spans="1:7" x14ac:dyDescent="0.2">
      <c r="A172" s="11">
        <v>153</v>
      </c>
      <c r="B172" s="5" t="s">
        <v>221</v>
      </c>
      <c r="C172" s="11">
        <v>76147579166</v>
      </c>
      <c r="D172" s="5" t="s">
        <v>222</v>
      </c>
      <c r="E172" s="8">
        <f>520.09</f>
        <v>520.09</v>
      </c>
      <c r="F172" s="5" t="s">
        <v>9</v>
      </c>
      <c r="G172" s="2" t="s">
        <v>20</v>
      </c>
    </row>
    <row r="173" spans="1:7" x14ac:dyDescent="0.2">
      <c r="A173" s="11">
        <v>154</v>
      </c>
      <c r="B173" s="5" t="s">
        <v>223</v>
      </c>
      <c r="C173" s="11">
        <v>48841983787</v>
      </c>
      <c r="D173" s="5" t="s">
        <v>224</v>
      </c>
      <c r="E173" s="8">
        <f>2081</f>
        <v>2081</v>
      </c>
      <c r="F173" s="5" t="s">
        <v>9</v>
      </c>
      <c r="G173" s="2" t="s">
        <v>20</v>
      </c>
    </row>
    <row r="174" spans="1:7" x14ac:dyDescent="0.2">
      <c r="A174" s="11">
        <v>155</v>
      </c>
      <c r="B174" s="5" t="s">
        <v>225</v>
      </c>
      <c r="C174" s="11" t="s">
        <v>15</v>
      </c>
      <c r="D174" s="5" t="s">
        <v>15</v>
      </c>
      <c r="E174" s="8">
        <v>200</v>
      </c>
      <c r="F174" s="5" t="s">
        <v>9</v>
      </c>
      <c r="G174" s="2" t="s">
        <v>99</v>
      </c>
    </row>
    <row r="175" spans="1:7" x14ac:dyDescent="0.2">
      <c r="A175" s="11">
        <v>156</v>
      </c>
      <c r="B175" s="5" t="s">
        <v>226</v>
      </c>
      <c r="C175" s="11">
        <v>29035933600</v>
      </c>
      <c r="D175" s="5" t="s">
        <v>227</v>
      </c>
      <c r="E175" s="8">
        <f>1676.42+15584.63</f>
        <v>17261.05</v>
      </c>
      <c r="F175" s="5" t="s">
        <v>9</v>
      </c>
      <c r="G175" s="2" t="s">
        <v>140</v>
      </c>
    </row>
    <row r="176" spans="1:7" x14ac:dyDescent="0.2">
      <c r="A176" s="11">
        <v>157</v>
      </c>
      <c r="B176" s="5" t="s">
        <v>229</v>
      </c>
      <c r="C176" s="11" t="s">
        <v>230</v>
      </c>
      <c r="D176" s="5" t="s">
        <v>231</v>
      </c>
      <c r="E176" s="8">
        <f>938.49+4000</f>
        <v>4938.49</v>
      </c>
      <c r="F176" s="5" t="s">
        <v>9</v>
      </c>
      <c r="G176" s="2" t="s">
        <v>20</v>
      </c>
    </row>
    <row r="177" spans="1:7" x14ac:dyDescent="0.2">
      <c r="A177" s="11">
        <v>158</v>
      </c>
      <c r="B177" s="5" t="s">
        <v>232</v>
      </c>
      <c r="C177" s="11">
        <v>85828625994</v>
      </c>
      <c r="D177" s="5" t="s">
        <v>233</v>
      </c>
      <c r="E177" s="8">
        <f>0.62</f>
        <v>0.62</v>
      </c>
      <c r="F177" s="5" t="s">
        <v>9</v>
      </c>
      <c r="G177" s="2" t="s">
        <v>228</v>
      </c>
    </row>
    <row r="178" spans="1:7" x14ac:dyDescent="0.2">
      <c r="A178" s="11">
        <v>159</v>
      </c>
      <c r="B178" s="5" t="s">
        <v>234</v>
      </c>
      <c r="C178" s="11">
        <v>64008199572</v>
      </c>
      <c r="D178" s="5" t="s">
        <v>235</v>
      </c>
      <c r="E178" s="8">
        <f>413.79</f>
        <v>413.79</v>
      </c>
      <c r="F178" s="5" t="s">
        <v>9</v>
      </c>
      <c r="G178" s="2" t="s">
        <v>20</v>
      </c>
    </row>
    <row r="179" spans="1:7" x14ac:dyDescent="0.2">
      <c r="A179" s="11">
        <v>160</v>
      </c>
      <c r="B179" s="5" t="s">
        <v>236</v>
      </c>
      <c r="C179" s="11">
        <v>83157399243</v>
      </c>
      <c r="D179" s="5" t="s">
        <v>237</v>
      </c>
      <c r="E179" s="8">
        <f>18.75</f>
        <v>18.75</v>
      </c>
      <c r="F179" s="5" t="s">
        <v>9</v>
      </c>
      <c r="G179" s="2" t="s">
        <v>20</v>
      </c>
    </row>
    <row r="180" spans="1:7" x14ac:dyDescent="0.2">
      <c r="A180" s="11">
        <v>161</v>
      </c>
      <c r="B180" s="5" t="s">
        <v>238</v>
      </c>
      <c r="C180" s="11" t="s">
        <v>239</v>
      </c>
      <c r="D180" s="5" t="s">
        <v>322</v>
      </c>
      <c r="E180" s="8">
        <v>772.9</v>
      </c>
      <c r="F180" s="5" t="s">
        <v>9</v>
      </c>
      <c r="G180" s="2" t="s">
        <v>20</v>
      </c>
    </row>
    <row r="181" spans="1:7" x14ac:dyDescent="0.2">
      <c r="A181" s="11">
        <v>162</v>
      </c>
      <c r="B181" s="5" t="s">
        <v>240</v>
      </c>
      <c r="C181" s="11">
        <v>54661026138</v>
      </c>
      <c r="D181" s="5" t="s">
        <v>241</v>
      </c>
      <c r="E181" s="8">
        <f>1197.75+698.08</f>
        <v>1895.83</v>
      </c>
      <c r="F181" s="5" t="s">
        <v>9</v>
      </c>
      <c r="G181" s="2" t="s">
        <v>20</v>
      </c>
    </row>
    <row r="182" spans="1:7" x14ac:dyDescent="0.2">
      <c r="A182" s="11">
        <v>163</v>
      </c>
      <c r="B182" s="5" t="s">
        <v>242</v>
      </c>
      <c r="C182" s="11">
        <v>69857578031</v>
      </c>
      <c r="D182" s="5" t="s">
        <v>244</v>
      </c>
      <c r="E182" s="8">
        <f>325.65</f>
        <v>325.64999999999998</v>
      </c>
      <c r="F182" s="5" t="s">
        <v>9</v>
      </c>
      <c r="G182" s="2" t="s">
        <v>243</v>
      </c>
    </row>
    <row r="183" spans="1:7" x14ac:dyDescent="0.2">
      <c r="A183" s="11">
        <v>164</v>
      </c>
      <c r="B183" s="5" t="s">
        <v>245</v>
      </c>
      <c r="C183" s="12" t="s">
        <v>247</v>
      </c>
      <c r="D183" s="5" t="s">
        <v>246</v>
      </c>
      <c r="E183" s="8">
        <f>989.2+891.23+1071.51</f>
        <v>2951.94</v>
      </c>
      <c r="F183" s="5" t="s">
        <v>9</v>
      </c>
      <c r="G183" s="2" t="s">
        <v>243</v>
      </c>
    </row>
    <row r="184" spans="1:7" x14ac:dyDescent="0.2">
      <c r="A184" s="11">
        <v>165</v>
      </c>
      <c r="B184" s="5" t="s">
        <v>251</v>
      </c>
      <c r="C184" s="11">
        <v>54482179263</v>
      </c>
      <c r="D184" s="5" t="s">
        <v>252</v>
      </c>
      <c r="E184" s="8">
        <v>149.4</v>
      </c>
      <c r="F184" s="5" t="s">
        <v>9</v>
      </c>
      <c r="G184" s="2" t="s">
        <v>20</v>
      </c>
    </row>
    <row r="185" spans="1:7" x14ac:dyDescent="0.2">
      <c r="A185" s="11">
        <v>166</v>
      </c>
      <c r="B185" s="5" t="s">
        <v>253</v>
      </c>
      <c r="C185" s="11">
        <v>79506290597</v>
      </c>
      <c r="D185" s="5" t="s">
        <v>255</v>
      </c>
      <c r="E185" s="8">
        <v>93.75</v>
      </c>
      <c r="F185" s="5" t="s">
        <v>9</v>
      </c>
      <c r="G185" s="2" t="s">
        <v>254</v>
      </c>
    </row>
    <row r="186" spans="1:7" x14ac:dyDescent="0.2">
      <c r="A186" s="11">
        <v>167</v>
      </c>
      <c r="B186" s="5" t="s">
        <v>257</v>
      </c>
      <c r="C186" s="11">
        <v>94505281348</v>
      </c>
      <c r="D186" s="5" t="s">
        <v>258</v>
      </c>
      <c r="E186" s="8">
        <v>165.23</v>
      </c>
      <c r="F186" s="5" t="s">
        <v>9</v>
      </c>
      <c r="G186" s="2" t="s">
        <v>147</v>
      </c>
    </row>
    <row r="187" spans="1:7" x14ac:dyDescent="0.2">
      <c r="A187" s="11">
        <v>168</v>
      </c>
      <c r="B187" s="5" t="s">
        <v>261</v>
      </c>
      <c r="C187" s="11">
        <v>79378753915</v>
      </c>
      <c r="D187" s="5" t="s">
        <v>262</v>
      </c>
      <c r="E187" s="8">
        <f>893.75</f>
        <v>893.75</v>
      </c>
      <c r="F187" s="5" t="s">
        <v>9</v>
      </c>
      <c r="G187" s="2" t="s">
        <v>20</v>
      </c>
    </row>
    <row r="188" spans="1:7" x14ac:dyDescent="0.2">
      <c r="A188" s="11">
        <v>169</v>
      </c>
      <c r="B188" s="5" t="s">
        <v>265</v>
      </c>
      <c r="C188" s="11">
        <v>32371574171</v>
      </c>
      <c r="D188" s="5" t="s">
        <v>266</v>
      </c>
      <c r="E188" s="8">
        <f>812.5</f>
        <v>812.5</v>
      </c>
      <c r="F188" s="5" t="s">
        <v>9</v>
      </c>
      <c r="G188" s="2" t="s">
        <v>131</v>
      </c>
    </row>
    <row r="189" spans="1:7" x14ac:dyDescent="0.2">
      <c r="A189" s="11">
        <v>170</v>
      </c>
      <c r="B189" s="5" t="s">
        <v>267</v>
      </c>
      <c r="C189" s="11">
        <v>22911773746</v>
      </c>
      <c r="D189" s="5" t="s">
        <v>268</v>
      </c>
      <c r="E189" s="8">
        <f>4000+1153.13</f>
        <v>5153.13</v>
      </c>
      <c r="F189" s="5" t="s">
        <v>9</v>
      </c>
      <c r="G189" s="2" t="s">
        <v>20</v>
      </c>
    </row>
    <row r="190" spans="1:7" x14ac:dyDescent="0.2">
      <c r="A190" s="11">
        <v>171</v>
      </c>
      <c r="B190" s="5" t="s">
        <v>275</v>
      </c>
      <c r="C190" s="11">
        <v>38867318377</v>
      </c>
      <c r="D190" s="5" t="s">
        <v>276</v>
      </c>
      <c r="E190" s="8">
        <f>42.75+188.7+450.59+592.71</f>
        <v>1274.75</v>
      </c>
      <c r="F190" s="5" t="s">
        <v>9</v>
      </c>
      <c r="G190" s="2" t="s">
        <v>20</v>
      </c>
    </row>
    <row r="191" spans="1:7" x14ac:dyDescent="0.2">
      <c r="A191" s="11">
        <v>172</v>
      </c>
      <c r="B191" s="5" t="s">
        <v>270</v>
      </c>
      <c r="C191" s="11">
        <v>56862872842</v>
      </c>
      <c r="D191" s="5" t="s">
        <v>277</v>
      </c>
      <c r="E191" s="8">
        <v>946</v>
      </c>
      <c r="F191" s="5" t="s">
        <v>9</v>
      </c>
      <c r="G191" s="2" t="s">
        <v>20</v>
      </c>
    </row>
    <row r="192" spans="1:7" x14ac:dyDescent="0.2">
      <c r="A192" s="11">
        <v>173</v>
      </c>
      <c r="B192" s="5" t="s">
        <v>356</v>
      </c>
      <c r="C192" s="11">
        <v>38001831721</v>
      </c>
      <c r="D192" s="5" t="s">
        <v>357</v>
      </c>
      <c r="E192" s="8">
        <v>100</v>
      </c>
      <c r="F192" s="5" t="s">
        <v>9</v>
      </c>
      <c r="G192" s="2" t="s">
        <v>358</v>
      </c>
    </row>
    <row r="193" spans="1:7" x14ac:dyDescent="0.2">
      <c r="A193" s="11">
        <v>174</v>
      </c>
      <c r="B193" s="5" t="s">
        <v>338</v>
      </c>
      <c r="C193" s="11">
        <v>74056056752</v>
      </c>
      <c r="D193" s="5" t="s">
        <v>304</v>
      </c>
      <c r="E193" s="8">
        <v>316.88</v>
      </c>
      <c r="F193" s="5" t="s">
        <v>9</v>
      </c>
      <c r="G193" s="2" t="s">
        <v>20</v>
      </c>
    </row>
    <row r="194" spans="1:7" x14ac:dyDescent="0.2">
      <c r="A194" s="11">
        <v>175</v>
      </c>
      <c r="B194" s="5" t="s">
        <v>321</v>
      </c>
      <c r="C194" s="11">
        <v>52398663574</v>
      </c>
      <c r="D194" s="5" t="s">
        <v>320</v>
      </c>
      <c r="E194" s="8">
        <v>98.3</v>
      </c>
      <c r="F194" s="5" t="s">
        <v>9</v>
      </c>
      <c r="G194" s="2" t="s">
        <v>283</v>
      </c>
    </row>
    <row r="195" spans="1:7" x14ac:dyDescent="0.2">
      <c r="A195" s="11">
        <v>176</v>
      </c>
      <c r="B195" s="5" t="s">
        <v>295</v>
      </c>
      <c r="C195" s="11">
        <v>11294943436</v>
      </c>
      <c r="D195" s="5" t="s">
        <v>296</v>
      </c>
      <c r="E195" s="8">
        <f>99.76</f>
        <v>99.76</v>
      </c>
      <c r="F195" s="5" t="s">
        <v>9</v>
      </c>
      <c r="G195" s="2" t="s">
        <v>70</v>
      </c>
    </row>
    <row r="196" spans="1:7" x14ac:dyDescent="0.2">
      <c r="A196" s="11">
        <v>177</v>
      </c>
      <c r="B196" s="5" t="s">
        <v>332</v>
      </c>
      <c r="C196" s="11">
        <v>57270798205</v>
      </c>
      <c r="D196" s="5" t="s">
        <v>333</v>
      </c>
      <c r="E196" s="8">
        <f>498.56</f>
        <v>498.56</v>
      </c>
      <c r="F196" s="5" t="s">
        <v>9</v>
      </c>
      <c r="G196" s="2" t="s">
        <v>11</v>
      </c>
    </row>
    <row r="197" spans="1:7" x14ac:dyDescent="0.2">
      <c r="A197" s="11">
        <v>178</v>
      </c>
      <c r="B197" s="19" t="s">
        <v>363</v>
      </c>
      <c r="C197" s="30">
        <v>78131970792</v>
      </c>
      <c r="D197" s="19" t="s">
        <v>364</v>
      </c>
      <c r="E197" s="15">
        <f>187.5+1312.5+1500</f>
        <v>3000</v>
      </c>
      <c r="F197" s="19" t="s">
        <v>9</v>
      </c>
      <c r="G197" s="25" t="s">
        <v>131</v>
      </c>
    </row>
    <row r="198" spans="1:7" x14ac:dyDescent="0.2">
      <c r="A198" s="11">
        <v>179</v>
      </c>
      <c r="B198" s="5" t="s">
        <v>317</v>
      </c>
      <c r="C198" s="12" t="s">
        <v>318</v>
      </c>
      <c r="D198" s="5" t="s">
        <v>319</v>
      </c>
      <c r="E198" s="8">
        <v>81</v>
      </c>
      <c r="F198" s="5" t="s">
        <v>9</v>
      </c>
      <c r="G198" s="2" t="s">
        <v>108</v>
      </c>
    </row>
    <row r="199" spans="1:7" x14ac:dyDescent="0.2">
      <c r="A199" s="11">
        <v>180</v>
      </c>
      <c r="B199" s="5" t="s">
        <v>301</v>
      </c>
      <c r="C199" s="11">
        <v>85821130368</v>
      </c>
      <c r="D199" s="5" t="s">
        <v>302</v>
      </c>
      <c r="E199" s="8">
        <v>16.600000000000001</v>
      </c>
      <c r="F199" s="24" t="s">
        <v>9</v>
      </c>
      <c r="G199" s="2" t="s">
        <v>96</v>
      </c>
    </row>
    <row r="200" spans="1:7" x14ac:dyDescent="0.2">
      <c r="A200" s="11">
        <v>181</v>
      </c>
      <c r="B200" s="5" t="s">
        <v>330</v>
      </c>
      <c r="C200" s="11">
        <v>27712717103</v>
      </c>
      <c r="D200" s="5" t="s">
        <v>331</v>
      </c>
      <c r="E200" s="8">
        <v>5855.63</v>
      </c>
      <c r="F200" s="36" t="s">
        <v>9</v>
      </c>
      <c r="G200" s="2" t="s">
        <v>55</v>
      </c>
    </row>
    <row r="201" spans="1:7" x14ac:dyDescent="0.2">
      <c r="A201" s="11">
        <v>182</v>
      </c>
      <c r="B201" s="5" t="s">
        <v>292</v>
      </c>
      <c r="C201" s="11" t="s">
        <v>293</v>
      </c>
      <c r="D201" s="5" t="s">
        <v>294</v>
      </c>
      <c r="E201" s="15">
        <v>7590</v>
      </c>
      <c r="F201" s="19" t="s">
        <v>9</v>
      </c>
      <c r="G201" s="25" t="s">
        <v>20</v>
      </c>
    </row>
    <row r="202" spans="1:7" x14ac:dyDescent="0.2">
      <c r="A202" s="11">
        <v>183</v>
      </c>
      <c r="B202" s="5" t="s">
        <v>310</v>
      </c>
      <c r="C202" s="11" t="s">
        <v>312</v>
      </c>
      <c r="D202" s="5" t="s">
        <v>311</v>
      </c>
      <c r="E202" s="8">
        <f>1892.15+109.23</f>
        <v>2001.38</v>
      </c>
      <c r="F202" s="5" t="s">
        <v>9</v>
      </c>
      <c r="G202" s="2" t="s">
        <v>20</v>
      </c>
    </row>
    <row r="203" spans="1:7" x14ac:dyDescent="0.2">
      <c r="A203" s="11">
        <v>184</v>
      </c>
      <c r="B203" s="5" t="s">
        <v>288</v>
      </c>
      <c r="C203" s="11">
        <v>78424785565</v>
      </c>
      <c r="D203" s="5" t="s">
        <v>289</v>
      </c>
      <c r="E203" s="8">
        <f>170</f>
        <v>170</v>
      </c>
      <c r="F203" s="5" t="s">
        <v>9</v>
      </c>
      <c r="G203" s="2" t="s">
        <v>20</v>
      </c>
    </row>
    <row r="204" spans="1:7" x14ac:dyDescent="0.2">
      <c r="A204" s="11">
        <v>185</v>
      </c>
      <c r="B204" s="5" t="s">
        <v>339</v>
      </c>
      <c r="C204" s="11">
        <v>66402309304</v>
      </c>
      <c r="D204" s="5" t="s">
        <v>340</v>
      </c>
      <c r="E204" s="8">
        <f>2000+2000+1200+1837.5</f>
        <v>7037.5</v>
      </c>
      <c r="F204" s="5" t="s">
        <v>9</v>
      </c>
      <c r="G204" s="2" t="s">
        <v>20</v>
      </c>
    </row>
    <row r="205" spans="1:7" x14ac:dyDescent="0.2">
      <c r="A205" s="11">
        <v>186</v>
      </c>
      <c r="B205" s="5" t="s">
        <v>344</v>
      </c>
      <c r="C205" s="11">
        <v>37639806727</v>
      </c>
      <c r="D205" s="5" t="s">
        <v>355</v>
      </c>
      <c r="E205" s="8">
        <v>480</v>
      </c>
      <c r="F205" s="5" t="s">
        <v>9</v>
      </c>
      <c r="G205" s="2" t="s">
        <v>345</v>
      </c>
    </row>
    <row r="206" spans="1:7" x14ac:dyDescent="0.2">
      <c r="A206" s="11">
        <v>187</v>
      </c>
      <c r="B206" s="5" t="s">
        <v>315</v>
      </c>
      <c r="C206" s="11">
        <v>44307963093</v>
      </c>
      <c r="D206" s="5" t="s">
        <v>316</v>
      </c>
      <c r="E206" s="8">
        <f>1450</f>
        <v>1450</v>
      </c>
      <c r="F206" s="5" t="s">
        <v>9</v>
      </c>
      <c r="G206" s="2" t="s">
        <v>20</v>
      </c>
    </row>
    <row r="207" spans="1:7" x14ac:dyDescent="0.2">
      <c r="A207" s="11">
        <v>188</v>
      </c>
      <c r="B207" s="5" t="s">
        <v>374</v>
      </c>
      <c r="C207" s="11">
        <v>43764396102</v>
      </c>
      <c r="D207" s="5" t="s">
        <v>375</v>
      </c>
      <c r="E207" s="8">
        <f>68.75+5135</f>
        <v>5203.75</v>
      </c>
      <c r="F207" s="5" t="s">
        <v>9</v>
      </c>
      <c r="G207" s="2" t="s">
        <v>20</v>
      </c>
    </row>
    <row r="208" spans="1:7" x14ac:dyDescent="0.2">
      <c r="A208" s="11">
        <v>189</v>
      </c>
      <c r="B208" s="5" t="s">
        <v>290</v>
      </c>
      <c r="C208" s="11">
        <v>31826907316</v>
      </c>
      <c r="D208" s="5" t="s">
        <v>291</v>
      </c>
      <c r="E208" s="8">
        <v>3984.05</v>
      </c>
      <c r="F208" s="5" t="s">
        <v>9</v>
      </c>
      <c r="G208" s="2" t="s">
        <v>20</v>
      </c>
    </row>
    <row r="209" spans="1:7" x14ac:dyDescent="0.2">
      <c r="A209" s="11">
        <v>190</v>
      </c>
      <c r="B209" s="5" t="s">
        <v>365</v>
      </c>
      <c r="C209" s="11">
        <v>57845277445</v>
      </c>
      <c r="D209" s="5" t="s">
        <v>366</v>
      </c>
      <c r="E209" s="8">
        <v>393.75</v>
      </c>
      <c r="F209" s="5" t="s">
        <v>9</v>
      </c>
      <c r="G209" s="2" t="s">
        <v>96</v>
      </c>
    </row>
    <row r="210" spans="1:7" x14ac:dyDescent="0.2">
      <c r="A210" s="11">
        <v>191</v>
      </c>
      <c r="B210" s="5" t="s">
        <v>337</v>
      </c>
      <c r="C210" s="11">
        <v>73294314024</v>
      </c>
      <c r="D210" s="5" t="s">
        <v>287</v>
      </c>
      <c r="E210" s="8">
        <f>59.5</f>
        <v>59.5</v>
      </c>
      <c r="F210" s="5" t="s">
        <v>9</v>
      </c>
      <c r="G210" s="2" t="s">
        <v>286</v>
      </c>
    </row>
    <row r="211" spans="1:7" x14ac:dyDescent="0.2">
      <c r="A211" s="11">
        <v>192</v>
      </c>
      <c r="B211" s="5" t="s">
        <v>379</v>
      </c>
      <c r="C211" s="11">
        <v>59739812601</v>
      </c>
      <c r="D211" s="5" t="s">
        <v>380</v>
      </c>
      <c r="E211" s="8">
        <f>3121.25+8421.25</f>
        <v>11542.5</v>
      </c>
      <c r="F211" s="5" t="s">
        <v>9</v>
      </c>
      <c r="G211" s="2" t="s">
        <v>20</v>
      </c>
    </row>
    <row r="212" spans="1:7" x14ac:dyDescent="0.2">
      <c r="A212" s="11">
        <v>193</v>
      </c>
      <c r="B212" s="5" t="s">
        <v>381</v>
      </c>
      <c r="C212" s="11">
        <v>25339023257</v>
      </c>
      <c r="D212" s="5" t="s">
        <v>382</v>
      </c>
      <c r="E212" s="8">
        <f>262.88+87.63</f>
        <v>350.51</v>
      </c>
      <c r="F212" s="5" t="s">
        <v>9</v>
      </c>
      <c r="G212" s="2" t="s">
        <v>20</v>
      </c>
    </row>
    <row r="213" spans="1:7" x14ac:dyDescent="0.2">
      <c r="A213" s="11">
        <v>194</v>
      </c>
      <c r="B213" s="5" t="s">
        <v>347</v>
      </c>
      <c r="C213" s="11">
        <v>61373622132</v>
      </c>
      <c r="D213" s="5" t="s">
        <v>348</v>
      </c>
      <c r="E213" s="8">
        <f>71.25+81.75</f>
        <v>153</v>
      </c>
      <c r="F213" s="5" t="s">
        <v>9</v>
      </c>
      <c r="G213" s="2" t="s">
        <v>20</v>
      </c>
    </row>
    <row r="214" spans="1:7" x14ac:dyDescent="0.2">
      <c r="A214" s="11">
        <v>195</v>
      </c>
      <c r="B214" s="5" t="s">
        <v>349</v>
      </c>
      <c r="C214" s="11">
        <v>80805858278</v>
      </c>
      <c r="D214" s="5" t="s">
        <v>138</v>
      </c>
      <c r="E214" s="8">
        <v>41.42</v>
      </c>
      <c r="F214" s="5" t="s">
        <v>9</v>
      </c>
      <c r="G214" s="2" t="s">
        <v>43</v>
      </c>
    </row>
    <row r="215" spans="1:7" x14ac:dyDescent="0.2">
      <c r="A215" s="11">
        <v>196</v>
      </c>
      <c r="B215" s="5" t="s">
        <v>272</v>
      </c>
      <c r="C215" s="11">
        <v>54527841697</v>
      </c>
      <c r="D215" s="5" t="s">
        <v>279</v>
      </c>
      <c r="E215" s="8">
        <f>975+975</f>
        <v>1950</v>
      </c>
      <c r="F215" s="5" t="s">
        <v>9</v>
      </c>
      <c r="G215" s="2" t="s">
        <v>20</v>
      </c>
    </row>
    <row r="216" spans="1:7" x14ac:dyDescent="0.2">
      <c r="A216" s="11">
        <v>197</v>
      </c>
      <c r="B216" s="5" t="s">
        <v>273</v>
      </c>
      <c r="C216" s="11">
        <v>100299833</v>
      </c>
      <c r="D216" s="5" t="s">
        <v>280</v>
      </c>
      <c r="E216" s="8">
        <f>3750</f>
        <v>3750</v>
      </c>
      <c r="F216" s="5" t="s">
        <v>9</v>
      </c>
      <c r="G216" s="2" t="s">
        <v>20</v>
      </c>
    </row>
    <row r="217" spans="1:7" ht="5.25" customHeight="1" x14ac:dyDescent="0.2">
      <c r="A217" s="11"/>
      <c r="B217" s="5"/>
      <c r="C217" s="11"/>
      <c r="D217" s="5"/>
      <c r="E217" s="8"/>
      <c r="F217" s="5"/>
      <c r="G217" s="2"/>
    </row>
    <row r="219" spans="1:7" x14ac:dyDescent="0.2">
      <c r="D219" s="39" t="s">
        <v>466</v>
      </c>
      <c r="E219" s="38">
        <f>SUM(E11:E217)</f>
        <v>2802910.0499999989</v>
      </c>
    </row>
  </sheetData>
  <sheetProtection algorithmName="SHA-512" hashValue="szJ9MYip0MHKlZIKWNmSBeUJTw1ssdFWc32UtUPK4Lr9yQmZ14N3FRmxeRL9hyrct6eGy7WFgshr3HCdEJU4Mw==" saltValue="JyBc4ze+ugcL6cnxDAzWoQ==" spinCount="100000" sheet="1" objects="1" scenarios="1" selectLockedCells="1" autoFilter="0" selectUnlockedCells="1"/>
  <autoFilter ref="A10:G216" xr:uid="{1950F4FB-0261-43D0-828A-F0FFB9B4258F}"/>
  <mergeCells count="33">
    <mergeCell ref="A124:A125"/>
    <mergeCell ref="B124:B125"/>
    <mergeCell ref="C124:C125"/>
    <mergeCell ref="D124:D125"/>
    <mergeCell ref="F124:F125"/>
    <mergeCell ref="A38:A39"/>
    <mergeCell ref="A40:A41"/>
    <mergeCell ref="A52:A53"/>
    <mergeCell ref="B33:B36"/>
    <mergeCell ref="A33:A36"/>
    <mergeCell ref="B38:B39"/>
    <mergeCell ref="B52:B53"/>
    <mergeCell ref="B40:B41"/>
    <mergeCell ref="C33:C36"/>
    <mergeCell ref="D33:D36"/>
    <mergeCell ref="F33:F36"/>
    <mergeCell ref="A6:B6"/>
    <mergeCell ref="A7:B7"/>
    <mergeCell ref="C8:F8"/>
    <mergeCell ref="B28:B30"/>
    <mergeCell ref="C28:C30"/>
    <mergeCell ref="D28:D30"/>
    <mergeCell ref="F28:F30"/>
    <mergeCell ref="A28:A30"/>
    <mergeCell ref="C52:C53"/>
    <mergeCell ref="D52:D53"/>
    <mergeCell ref="F52:F53"/>
    <mergeCell ref="C38:C39"/>
    <mergeCell ref="F38:F39"/>
    <mergeCell ref="D38:D39"/>
    <mergeCell ref="C40:C41"/>
    <mergeCell ref="D40:D41"/>
    <mergeCell ref="F40:F41"/>
  </mergeCells>
  <pageMargins left="0.7" right="0.7" top="0.75" bottom="0.75" header="0.3" footer="0.3"/>
  <pageSetup paperSize="9" orientation="portrait" verticalDpi="0" r:id="rId1"/>
  <ignoredErrors>
    <ignoredError sqref="C16 C24 C61 C133 C143 C18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6319-1B0B-4E36-BF32-D58D80527425}">
  <dimension ref="A1:G267"/>
  <sheetViews>
    <sheetView topLeftCell="A253" workbookViewId="0">
      <selection activeCell="K9" sqref="K9"/>
    </sheetView>
  </sheetViews>
  <sheetFormatPr defaultRowHeight="15" x14ac:dyDescent="0.25"/>
  <cols>
    <col min="2" max="2" width="52" customWidth="1"/>
    <col min="3" max="3" width="20" bestFit="1" customWidth="1"/>
    <col min="4" max="4" width="33.28515625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7" t="s">
        <v>7</v>
      </c>
      <c r="B6" s="77"/>
      <c r="C6" s="10"/>
      <c r="D6" s="1"/>
      <c r="E6" s="13"/>
      <c r="F6" s="1"/>
      <c r="G6" s="1"/>
    </row>
    <row r="7" spans="1:7" x14ac:dyDescent="0.25">
      <c r="A7" s="77" t="s">
        <v>8</v>
      </c>
      <c r="B7" s="77"/>
      <c r="C7" s="10"/>
      <c r="D7" s="1"/>
      <c r="E7" s="13"/>
      <c r="F7" s="1"/>
      <c r="G7" s="1"/>
    </row>
    <row r="8" spans="1:7" x14ac:dyDescent="0.25">
      <c r="A8" s="23"/>
      <c r="B8" s="6"/>
      <c r="C8" s="78" t="s">
        <v>467</v>
      </c>
      <c r="D8" s="78"/>
      <c r="E8" s="78"/>
      <c r="F8" s="78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332</v>
      </c>
      <c r="C12" s="11">
        <v>57270798205</v>
      </c>
      <c r="D12" s="5" t="s">
        <v>333</v>
      </c>
      <c r="E12" s="8">
        <f>995.5+498.56</f>
        <v>1494.06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21.43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468</v>
      </c>
    </row>
    <row r="15" spans="1:7" x14ac:dyDescent="0.25">
      <c r="A15" s="11">
        <v>5</v>
      </c>
      <c r="B15" s="5" t="s">
        <v>232</v>
      </c>
      <c r="C15" s="11">
        <v>85828625994</v>
      </c>
      <c r="D15" s="5" t="s">
        <v>233</v>
      </c>
      <c r="E15" s="8">
        <v>5.52</v>
      </c>
      <c r="F15" s="5" t="s">
        <v>9</v>
      </c>
      <c r="G15" s="2" t="s">
        <v>228</v>
      </c>
    </row>
    <row r="16" spans="1:7" x14ac:dyDescent="0.25">
      <c r="A16" s="11">
        <v>6</v>
      </c>
      <c r="B16" s="5" t="s">
        <v>19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290</v>
      </c>
      <c r="C17" s="11">
        <v>31826907316</v>
      </c>
      <c r="D17" s="5" t="s">
        <v>291</v>
      </c>
      <c r="E17" s="8">
        <f>152.1+54738.85</f>
        <v>54890.95</v>
      </c>
      <c r="F17" s="5" t="s">
        <v>9</v>
      </c>
      <c r="G17" s="2" t="s">
        <v>20</v>
      </c>
    </row>
    <row r="18" spans="1:7" x14ac:dyDescent="0.25">
      <c r="A18" s="11">
        <v>8</v>
      </c>
      <c r="B18" s="36" t="s">
        <v>101</v>
      </c>
      <c r="C18" s="37">
        <v>71642207963</v>
      </c>
      <c r="D18" s="36" t="s">
        <v>124</v>
      </c>
      <c r="E18" s="8">
        <v>11.95</v>
      </c>
      <c r="F18" s="5" t="s">
        <v>9</v>
      </c>
      <c r="G18" s="2" t="s">
        <v>20</v>
      </c>
    </row>
    <row r="19" spans="1:7" x14ac:dyDescent="0.25">
      <c r="A19" s="11">
        <v>9</v>
      </c>
      <c r="B19" s="5" t="s">
        <v>469</v>
      </c>
      <c r="C19" s="11">
        <v>28921383001</v>
      </c>
      <c r="D19" s="5" t="s">
        <v>470</v>
      </c>
      <c r="E19" s="8">
        <f>31.48+251.08</f>
        <v>282.56</v>
      </c>
      <c r="F19" s="5" t="s">
        <v>9</v>
      </c>
      <c r="G19" s="2" t="s">
        <v>471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3720+9660</f>
        <v>13380</v>
      </c>
      <c r="F20" s="5" t="s">
        <v>9</v>
      </c>
      <c r="G20" s="2" t="s">
        <v>60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1475698.74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472</v>
      </c>
      <c r="C22" s="12" t="s">
        <v>473</v>
      </c>
      <c r="D22" s="9" t="s">
        <v>474</v>
      </c>
      <c r="E22" s="8">
        <v>2250</v>
      </c>
      <c r="F22" s="5" t="s">
        <v>9</v>
      </c>
      <c r="G22" s="2" t="s">
        <v>20</v>
      </c>
    </row>
    <row r="23" spans="1:7" x14ac:dyDescent="0.25">
      <c r="A23" s="11">
        <v>13</v>
      </c>
      <c r="B23" s="5" t="s">
        <v>365</v>
      </c>
      <c r="C23" s="11">
        <v>57845277445</v>
      </c>
      <c r="D23" s="5" t="s">
        <v>366</v>
      </c>
      <c r="E23" s="8">
        <v>393.75</v>
      </c>
      <c r="F23" s="5" t="s">
        <v>9</v>
      </c>
      <c r="G23" s="2" t="s">
        <v>96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1220.8499999999999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33</v>
      </c>
      <c r="C25" s="11">
        <v>57500462912</v>
      </c>
      <c r="D25" s="5" t="s">
        <v>35</v>
      </c>
      <c r="E25" s="8">
        <f>1200</f>
        <v>1200</v>
      </c>
      <c r="F25" s="5" t="s">
        <v>9</v>
      </c>
      <c r="G25" s="2" t="s">
        <v>34</v>
      </c>
    </row>
    <row r="26" spans="1:7" x14ac:dyDescent="0.25">
      <c r="A26" s="11">
        <v>16</v>
      </c>
      <c r="B26" s="5" t="s">
        <v>475</v>
      </c>
      <c r="C26" s="11">
        <v>98138500552</v>
      </c>
      <c r="D26" s="5" t="s">
        <v>476</v>
      </c>
      <c r="E26" s="8">
        <f>3262.5+1762.5+8175</f>
        <v>13200</v>
      </c>
      <c r="F26" s="5" t="s">
        <v>9</v>
      </c>
      <c r="G26" s="2" t="s">
        <v>477</v>
      </c>
    </row>
    <row r="27" spans="1:7" x14ac:dyDescent="0.25">
      <c r="A27" s="11">
        <v>17</v>
      </c>
      <c r="B27" s="19" t="s">
        <v>292</v>
      </c>
      <c r="C27" s="30" t="s">
        <v>293</v>
      </c>
      <c r="D27" s="19" t="s">
        <v>294</v>
      </c>
      <c r="E27" s="15">
        <v>4400</v>
      </c>
      <c r="F27" s="19" t="s">
        <v>9</v>
      </c>
      <c r="G27" s="25" t="s">
        <v>20</v>
      </c>
    </row>
    <row r="28" spans="1:7" x14ac:dyDescent="0.25">
      <c r="A28" s="11">
        <v>18</v>
      </c>
      <c r="B28" s="5" t="s">
        <v>440</v>
      </c>
      <c r="C28" s="11">
        <v>90449789256</v>
      </c>
      <c r="D28" s="5" t="s">
        <v>441</v>
      </c>
      <c r="E28" s="8">
        <v>33.880000000000003</v>
      </c>
      <c r="F28" s="5" t="s">
        <v>9</v>
      </c>
      <c r="G28" s="2" t="s">
        <v>20</v>
      </c>
    </row>
    <row r="29" spans="1:7" ht="15.75" thickBot="1" x14ac:dyDescent="0.3">
      <c r="A29" s="11">
        <v>19</v>
      </c>
      <c r="B29" s="33" t="s">
        <v>478</v>
      </c>
      <c r="C29" s="32">
        <v>23308926345</v>
      </c>
      <c r="D29" s="33" t="s">
        <v>479</v>
      </c>
      <c r="E29" s="20">
        <f>207.31</f>
        <v>207.31</v>
      </c>
      <c r="F29" s="33" t="s">
        <v>9</v>
      </c>
      <c r="G29" s="34" t="s">
        <v>36</v>
      </c>
    </row>
    <row r="30" spans="1:7" x14ac:dyDescent="0.25">
      <c r="A30" s="65">
        <v>20</v>
      </c>
      <c r="B30" s="67" t="s">
        <v>281</v>
      </c>
      <c r="C30" s="65">
        <v>66253945791</v>
      </c>
      <c r="D30" s="67" t="s">
        <v>46</v>
      </c>
      <c r="E30" s="16">
        <f>42140+10983.19+103921.3+34047.22</f>
        <v>191091.71</v>
      </c>
      <c r="F30" s="67" t="s">
        <v>9</v>
      </c>
      <c r="G30" s="26" t="s">
        <v>36</v>
      </c>
    </row>
    <row r="31" spans="1:7" x14ac:dyDescent="0.25">
      <c r="A31" s="75"/>
      <c r="B31" s="76"/>
      <c r="C31" s="75"/>
      <c r="D31" s="76"/>
      <c r="E31" s="8">
        <f>137088+785050.43+57079.51+90000</f>
        <v>1069217.94</v>
      </c>
      <c r="F31" s="76"/>
      <c r="G31" s="2" t="s">
        <v>37</v>
      </c>
    </row>
    <row r="32" spans="1:7" ht="15.75" thickBot="1" x14ac:dyDescent="0.3">
      <c r="A32" s="66"/>
      <c r="B32" s="68"/>
      <c r="C32" s="66"/>
      <c r="D32" s="68"/>
      <c r="E32" s="18">
        <f>65315.99+8996.1</f>
        <v>74312.09</v>
      </c>
      <c r="F32" s="68"/>
      <c r="G32" s="27" t="s">
        <v>20</v>
      </c>
    </row>
    <row r="33" spans="1:7" x14ac:dyDescent="0.25">
      <c r="A33" s="31">
        <v>21</v>
      </c>
      <c r="B33" s="5" t="s">
        <v>480</v>
      </c>
      <c r="C33" s="11" t="s">
        <v>481</v>
      </c>
      <c r="D33" s="5" t="s">
        <v>482</v>
      </c>
      <c r="E33" s="17">
        <v>981.8</v>
      </c>
      <c r="F33" s="28" t="s">
        <v>9</v>
      </c>
      <c r="G33" s="29" t="s">
        <v>20</v>
      </c>
    </row>
    <row r="34" spans="1:7" ht="15.75" thickBot="1" x14ac:dyDescent="0.3">
      <c r="A34" s="30">
        <v>22</v>
      </c>
      <c r="B34" s="19" t="s">
        <v>38</v>
      </c>
      <c r="C34" s="30">
        <v>63073332379</v>
      </c>
      <c r="D34" s="19" t="s">
        <v>48</v>
      </c>
      <c r="E34" s="15">
        <v>8985</v>
      </c>
      <c r="F34" s="19" t="s">
        <v>9</v>
      </c>
      <c r="G34" s="25" t="s">
        <v>40</v>
      </c>
    </row>
    <row r="35" spans="1:7" x14ac:dyDescent="0.25">
      <c r="A35" s="65">
        <v>23</v>
      </c>
      <c r="B35" s="67" t="s">
        <v>39</v>
      </c>
      <c r="C35" s="65">
        <v>39901919995</v>
      </c>
      <c r="D35" s="67" t="s">
        <v>47</v>
      </c>
      <c r="E35" s="16">
        <f>3671.56+3288.19</f>
        <v>6959.75</v>
      </c>
      <c r="F35" s="67" t="s">
        <v>9</v>
      </c>
      <c r="G35" s="26" t="s">
        <v>40</v>
      </c>
    </row>
    <row r="36" spans="1:7" x14ac:dyDescent="0.25">
      <c r="A36" s="75"/>
      <c r="B36" s="76"/>
      <c r="C36" s="75"/>
      <c r="D36" s="76"/>
      <c r="E36" s="8">
        <f>1097.41+1019.54</f>
        <v>2116.9499999999998</v>
      </c>
      <c r="F36" s="76"/>
      <c r="G36" s="2" t="s">
        <v>41</v>
      </c>
    </row>
    <row r="37" spans="1:7" x14ac:dyDescent="0.25">
      <c r="A37" s="75"/>
      <c r="B37" s="76"/>
      <c r="C37" s="75"/>
      <c r="D37" s="76"/>
      <c r="E37" s="8">
        <v>32675.45</v>
      </c>
      <c r="F37" s="76"/>
      <c r="G37" s="2" t="s">
        <v>140</v>
      </c>
    </row>
    <row r="38" spans="1:7" x14ac:dyDescent="0.25">
      <c r="A38" s="75"/>
      <c r="B38" s="76"/>
      <c r="C38" s="75"/>
      <c r="D38" s="76"/>
      <c r="E38" s="8">
        <f>10702.98+3105.26+20937.5+45204.48+62759.13</f>
        <v>142709.35</v>
      </c>
      <c r="F38" s="76"/>
      <c r="G38" s="2" t="s">
        <v>42</v>
      </c>
    </row>
    <row r="39" spans="1:7" ht="15.75" thickBot="1" x14ac:dyDescent="0.3">
      <c r="A39" s="66"/>
      <c r="B39" s="68"/>
      <c r="C39" s="66"/>
      <c r="D39" s="68"/>
      <c r="E39" s="18">
        <f>4322.41+6021.52</f>
        <v>10343.93</v>
      </c>
      <c r="F39" s="68"/>
      <c r="G39" s="27" t="s">
        <v>43</v>
      </c>
    </row>
    <row r="40" spans="1:7" ht="15.75" thickBot="1" x14ac:dyDescent="0.3">
      <c r="A40" s="32">
        <v>24</v>
      </c>
      <c r="B40" s="33" t="s">
        <v>44</v>
      </c>
      <c r="C40" s="32">
        <v>93039509752</v>
      </c>
      <c r="D40" s="33" t="s">
        <v>49</v>
      </c>
      <c r="E40" s="20">
        <f>1383.04+510.99+50</f>
        <v>1944.03</v>
      </c>
      <c r="F40" s="33" t="s">
        <v>9</v>
      </c>
      <c r="G40" s="34" t="s">
        <v>45</v>
      </c>
    </row>
    <row r="41" spans="1:7" x14ac:dyDescent="0.25">
      <c r="A41" s="65">
        <v>25</v>
      </c>
      <c r="B41" s="67" t="s">
        <v>50</v>
      </c>
      <c r="C41" s="65">
        <v>11471889269</v>
      </c>
      <c r="D41" s="67" t="s">
        <v>51</v>
      </c>
      <c r="E41" s="16">
        <f>218.33</f>
        <v>218.33</v>
      </c>
      <c r="F41" s="67" t="s">
        <v>9</v>
      </c>
      <c r="G41" s="26" t="s">
        <v>37</v>
      </c>
    </row>
    <row r="42" spans="1:7" ht="15.75" thickBot="1" x14ac:dyDescent="0.3">
      <c r="A42" s="66"/>
      <c r="B42" s="68"/>
      <c r="C42" s="66"/>
      <c r="D42" s="68"/>
      <c r="E42" s="18">
        <f>40000+6318.5</f>
        <v>46318.5</v>
      </c>
      <c r="F42" s="68"/>
      <c r="G42" s="27" t="s">
        <v>20</v>
      </c>
    </row>
    <row r="43" spans="1:7" x14ac:dyDescent="0.25">
      <c r="A43" s="65">
        <v>26</v>
      </c>
      <c r="B43" s="67" t="s">
        <v>52</v>
      </c>
      <c r="C43" s="65">
        <v>27759560625</v>
      </c>
      <c r="D43" s="79" t="s">
        <v>54</v>
      </c>
      <c r="E43" s="16">
        <v>5399.2</v>
      </c>
      <c r="F43" s="67" t="s">
        <v>9</v>
      </c>
      <c r="G43" s="26" t="s">
        <v>53</v>
      </c>
    </row>
    <row r="44" spans="1:7" ht="15.75" thickBot="1" x14ac:dyDescent="0.3">
      <c r="A44" s="75"/>
      <c r="B44" s="76"/>
      <c r="C44" s="75"/>
      <c r="D44" s="80"/>
      <c r="E44" s="20">
        <f>747.3+1287.01+779.43</f>
        <v>2813.74</v>
      </c>
      <c r="F44" s="76"/>
      <c r="G44" s="25" t="s">
        <v>20</v>
      </c>
    </row>
    <row r="45" spans="1:7" x14ac:dyDescent="0.25">
      <c r="A45" s="43">
        <v>27</v>
      </c>
      <c r="B45" s="44" t="s">
        <v>483</v>
      </c>
      <c r="C45" s="43">
        <v>68419124305</v>
      </c>
      <c r="D45" s="44" t="s">
        <v>484</v>
      </c>
      <c r="E45" s="16">
        <v>106.2</v>
      </c>
      <c r="F45" s="44" t="s">
        <v>9</v>
      </c>
      <c r="G45" s="26" t="s">
        <v>485</v>
      </c>
    </row>
    <row r="46" spans="1:7" x14ac:dyDescent="0.25">
      <c r="A46" s="11">
        <v>28</v>
      </c>
      <c r="B46" s="5" t="s">
        <v>347</v>
      </c>
      <c r="C46" s="11">
        <v>61373622132</v>
      </c>
      <c r="D46" s="5" t="s">
        <v>348</v>
      </c>
      <c r="E46" s="8">
        <f>22.94</f>
        <v>22.94</v>
      </c>
      <c r="F46" s="5" t="s">
        <v>9</v>
      </c>
      <c r="G46" s="2" t="s">
        <v>20</v>
      </c>
    </row>
    <row r="47" spans="1:7" x14ac:dyDescent="0.25">
      <c r="A47" s="11">
        <v>29</v>
      </c>
      <c r="B47" s="45" t="s">
        <v>486</v>
      </c>
      <c r="C47" s="46">
        <v>11374156664</v>
      </c>
      <c r="D47" s="45" t="s">
        <v>487</v>
      </c>
      <c r="E47" s="8">
        <f>519.08+138.6</f>
        <v>657.68000000000006</v>
      </c>
      <c r="F47" s="5" t="s">
        <v>9</v>
      </c>
      <c r="G47" s="2" t="s">
        <v>20</v>
      </c>
    </row>
    <row r="48" spans="1:7" x14ac:dyDescent="0.25">
      <c r="A48" s="11">
        <v>30</v>
      </c>
      <c r="B48" s="19" t="s">
        <v>363</v>
      </c>
      <c r="C48" s="30">
        <v>78131970792</v>
      </c>
      <c r="D48" s="19" t="s">
        <v>364</v>
      </c>
      <c r="E48" s="15">
        <f>412.5+1162.5</f>
        <v>1575</v>
      </c>
      <c r="F48" s="19" t="s">
        <v>9</v>
      </c>
      <c r="G48" s="25" t="s">
        <v>131</v>
      </c>
    </row>
    <row r="49" spans="1:7" x14ac:dyDescent="0.25">
      <c r="A49" s="11">
        <v>31</v>
      </c>
      <c r="B49" s="5" t="s">
        <v>59</v>
      </c>
      <c r="C49" s="11" t="s">
        <v>15</v>
      </c>
      <c r="D49" s="5" t="s">
        <v>15</v>
      </c>
      <c r="E49" s="8">
        <v>310.24</v>
      </c>
      <c r="F49" s="5" t="s">
        <v>9</v>
      </c>
      <c r="G49" s="2" t="s">
        <v>58</v>
      </c>
    </row>
    <row r="50" spans="1:7" x14ac:dyDescent="0.25">
      <c r="A50" s="11">
        <v>32</v>
      </c>
      <c r="B50" s="5" t="s">
        <v>488</v>
      </c>
      <c r="C50" s="11" t="s">
        <v>15</v>
      </c>
      <c r="D50" s="5" t="s">
        <v>15</v>
      </c>
      <c r="E50" s="8">
        <v>148.52000000000001</v>
      </c>
      <c r="F50" s="5" t="s">
        <v>9</v>
      </c>
      <c r="G50" s="2" t="s">
        <v>58</v>
      </c>
    </row>
    <row r="51" spans="1:7" x14ac:dyDescent="0.25">
      <c r="A51" s="11">
        <v>33</v>
      </c>
      <c r="B51" s="5" t="s">
        <v>299</v>
      </c>
      <c r="C51" s="11">
        <v>33813961569</v>
      </c>
      <c r="D51" s="5" t="s">
        <v>300</v>
      </c>
      <c r="E51" s="8">
        <v>528.22</v>
      </c>
      <c r="F51" s="5" t="s">
        <v>9</v>
      </c>
      <c r="G51" s="2" t="s">
        <v>70</v>
      </c>
    </row>
    <row r="52" spans="1:7" x14ac:dyDescent="0.25">
      <c r="A52" s="11">
        <v>34</v>
      </c>
      <c r="B52" s="5" t="s">
        <v>288</v>
      </c>
      <c r="C52" s="11">
        <v>78424785565</v>
      </c>
      <c r="D52" s="5" t="s">
        <v>289</v>
      </c>
      <c r="E52" s="8">
        <f>264+927.5+1059</f>
        <v>2250.5</v>
      </c>
      <c r="F52" s="5" t="s">
        <v>9</v>
      </c>
      <c r="G52" s="2" t="s">
        <v>20</v>
      </c>
    </row>
    <row r="53" spans="1:7" x14ac:dyDescent="0.25">
      <c r="A53" s="11">
        <v>35</v>
      </c>
      <c r="B53" s="5" t="s">
        <v>15</v>
      </c>
      <c r="C53" s="11" t="s">
        <v>15</v>
      </c>
      <c r="D53" s="5" t="s">
        <v>15</v>
      </c>
      <c r="E53" s="8">
        <v>1700</v>
      </c>
      <c r="F53" s="5" t="s">
        <v>9</v>
      </c>
      <c r="G53" s="2" t="s">
        <v>489</v>
      </c>
    </row>
    <row r="54" spans="1:7" ht="15.75" thickBot="1" x14ac:dyDescent="0.3">
      <c r="A54" s="11">
        <v>36</v>
      </c>
      <c r="B54" s="19" t="s">
        <v>67</v>
      </c>
      <c r="C54" s="30">
        <v>32179081874</v>
      </c>
      <c r="D54" s="19" t="s">
        <v>68</v>
      </c>
      <c r="E54" s="15">
        <f>24.75+482.84</f>
        <v>507.59</v>
      </c>
      <c r="F54" s="19" t="s">
        <v>9</v>
      </c>
      <c r="G54" s="25" t="s">
        <v>20</v>
      </c>
    </row>
    <row r="55" spans="1:7" x14ac:dyDescent="0.25">
      <c r="A55" s="65">
        <v>37</v>
      </c>
      <c r="B55" s="67" t="s">
        <v>71</v>
      </c>
      <c r="C55" s="65">
        <v>76173743169</v>
      </c>
      <c r="D55" s="67" t="s">
        <v>69</v>
      </c>
      <c r="E55" s="16">
        <v>33.18</v>
      </c>
      <c r="F55" s="67" t="s">
        <v>9</v>
      </c>
      <c r="G55" s="26" t="s">
        <v>490</v>
      </c>
    </row>
    <row r="56" spans="1:7" ht="15.75" thickBot="1" x14ac:dyDescent="0.3">
      <c r="A56" s="66"/>
      <c r="B56" s="68"/>
      <c r="C56" s="66"/>
      <c r="D56" s="68"/>
      <c r="E56" s="18">
        <v>776.05</v>
      </c>
      <c r="F56" s="68"/>
      <c r="G56" s="27" t="s">
        <v>70</v>
      </c>
    </row>
    <row r="57" spans="1:7" ht="15.75" thickBot="1" x14ac:dyDescent="0.3">
      <c r="A57" s="32">
        <v>38</v>
      </c>
      <c r="B57" s="33" t="s">
        <v>491</v>
      </c>
      <c r="C57" s="47" t="s">
        <v>492</v>
      </c>
      <c r="D57" s="33" t="s">
        <v>493</v>
      </c>
      <c r="E57" s="20">
        <f>1161.65+1161.65</f>
        <v>2323.3000000000002</v>
      </c>
      <c r="F57" s="48" t="s">
        <v>9</v>
      </c>
      <c r="G57" s="49" t="s">
        <v>494</v>
      </c>
    </row>
    <row r="58" spans="1:7" x14ac:dyDescent="0.25">
      <c r="A58" s="65">
        <v>39</v>
      </c>
      <c r="B58" s="67" t="s">
        <v>73</v>
      </c>
      <c r="C58" s="65">
        <v>34976993601</v>
      </c>
      <c r="D58" s="67" t="s">
        <v>74</v>
      </c>
      <c r="E58" s="16">
        <f>422.19</f>
        <v>422.19</v>
      </c>
      <c r="F58" s="67" t="s">
        <v>9</v>
      </c>
      <c r="G58" s="26" t="s">
        <v>72</v>
      </c>
    </row>
    <row r="59" spans="1:7" ht="15.75" thickBot="1" x14ac:dyDescent="0.3">
      <c r="A59" s="66"/>
      <c r="B59" s="68"/>
      <c r="C59" s="66"/>
      <c r="D59" s="68"/>
      <c r="E59" s="18">
        <v>316.72000000000003</v>
      </c>
      <c r="F59" s="68"/>
      <c r="G59" s="27" t="s">
        <v>147</v>
      </c>
    </row>
    <row r="60" spans="1:7" x14ac:dyDescent="0.25">
      <c r="A60" s="31">
        <v>40</v>
      </c>
      <c r="B60" s="28" t="s">
        <v>15</v>
      </c>
      <c r="C60" s="31" t="s">
        <v>15</v>
      </c>
      <c r="D60" s="28" t="s">
        <v>15</v>
      </c>
      <c r="E60" s="17">
        <v>1752.76</v>
      </c>
      <c r="F60" s="28" t="s">
        <v>9</v>
      </c>
      <c r="G60" s="29" t="s">
        <v>75</v>
      </c>
    </row>
    <row r="61" spans="1:7" x14ac:dyDescent="0.25">
      <c r="A61" s="11">
        <v>41</v>
      </c>
      <c r="B61" s="5" t="s">
        <v>15</v>
      </c>
      <c r="C61" s="11" t="s">
        <v>15</v>
      </c>
      <c r="D61" s="5" t="s">
        <v>15</v>
      </c>
      <c r="E61" s="8">
        <f>47.78+46337.97</f>
        <v>46385.75</v>
      </c>
      <c r="F61" s="5" t="s">
        <v>9</v>
      </c>
      <c r="G61" s="2" t="s">
        <v>76</v>
      </c>
    </row>
    <row r="62" spans="1:7" x14ac:dyDescent="0.25">
      <c r="A62" s="11">
        <v>42</v>
      </c>
      <c r="B62" s="5" t="s">
        <v>15</v>
      </c>
      <c r="C62" s="11" t="s">
        <v>15</v>
      </c>
      <c r="D62" s="5" t="s">
        <v>15</v>
      </c>
      <c r="E62" s="8">
        <f>600</f>
        <v>600</v>
      </c>
      <c r="F62" s="5" t="s">
        <v>9</v>
      </c>
      <c r="G62" s="2" t="s">
        <v>77</v>
      </c>
    </row>
    <row r="63" spans="1:7" x14ac:dyDescent="0.25">
      <c r="A63" s="11">
        <v>43</v>
      </c>
      <c r="B63" s="19" t="s">
        <v>369</v>
      </c>
      <c r="C63" s="35">
        <v>13278612358</v>
      </c>
      <c r="D63" s="19" t="s">
        <v>370</v>
      </c>
      <c r="E63" s="15">
        <f>212.5+325</f>
        <v>537.5</v>
      </c>
      <c r="F63" s="19" t="s">
        <v>9</v>
      </c>
      <c r="G63" s="25" t="s">
        <v>131</v>
      </c>
    </row>
    <row r="64" spans="1:7" x14ac:dyDescent="0.25">
      <c r="A64" s="11">
        <v>44</v>
      </c>
      <c r="B64" s="21" t="s">
        <v>79</v>
      </c>
      <c r="C64" s="22">
        <v>81793146560</v>
      </c>
      <c r="D64" s="21" t="s">
        <v>80</v>
      </c>
      <c r="E64" s="8">
        <f>16.8</f>
        <v>16.8</v>
      </c>
      <c r="F64" s="5" t="s">
        <v>9</v>
      </c>
      <c r="G64" s="2" t="s">
        <v>150</v>
      </c>
    </row>
    <row r="65" spans="1:7" x14ac:dyDescent="0.25">
      <c r="A65" s="11">
        <v>45</v>
      </c>
      <c r="B65" s="5" t="s">
        <v>495</v>
      </c>
      <c r="C65" s="11">
        <v>70467048139</v>
      </c>
      <c r="D65" s="5" t="s">
        <v>496</v>
      </c>
      <c r="E65" s="8">
        <v>16.010000000000002</v>
      </c>
      <c r="F65" s="5" t="s">
        <v>9</v>
      </c>
      <c r="G65" s="2" t="s">
        <v>70</v>
      </c>
    </row>
    <row r="66" spans="1:7" x14ac:dyDescent="0.25">
      <c r="A66" s="11">
        <v>46</v>
      </c>
      <c r="B66" s="5" t="s">
        <v>497</v>
      </c>
      <c r="C66" s="12" t="s">
        <v>498</v>
      </c>
      <c r="D66" s="5" t="s">
        <v>499</v>
      </c>
      <c r="E66" s="8">
        <v>269.02</v>
      </c>
      <c r="F66" s="5" t="s">
        <v>9</v>
      </c>
      <c r="G66" s="2" t="s">
        <v>70</v>
      </c>
    </row>
    <row r="67" spans="1:7" x14ac:dyDescent="0.25">
      <c r="A67" s="11">
        <v>47</v>
      </c>
      <c r="B67" s="5" t="s">
        <v>82</v>
      </c>
      <c r="C67" s="11">
        <v>46163832762</v>
      </c>
      <c r="D67" s="5" t="s">
        <v>111</v>
      </c>
      <c r="E67" s="8">
        <v>259.73</v>
      </c>
      <c r="F67" s="5" t="s">
        <v>9</v>
      </c>
      <c r="G67" s="2" t="s">
        <v>70</v>
      </c>
    </row>
    <row r="68" spans="1:7" x14ac:dyDescent="0.25">
      <c r="A68" s="11">
        <v>48</v>
      </c>
      <c r="B68" s="5" t="s">
        <v>83</v>
      </c>
      <c r="C68" s="11">
        <v>41412434130</v>
      </c>
      <c r="D68" s="5" t="s">
        <v>110</v>
      </c>
      <c r="E68" s="8">
        <f>329.28</f>
        <v>329.28</v>
      </c>
      <c r="F68" s="5" t="s">
        <v>9</v>
      </c>
      <c r="G68" s="2" t="s">
        <v>70</v>
      </c>
    </row>
    <row r="69" spans="1:7" x14ac:dyDescent="0.25">
      <c r="A69" s="11">
        <v>49</v>
      </c>
      <c r="B69" s="5" t="s">
        <v>84</v>
      </c>
      <c r="C69" s="12" t="s">
        <v>112</v>
      </c>
      <c r="D69" s="5" t="s">
        <v>113</v>
      </c>
      <c r="E69" s="8">
        <f>44.1+286.29</f>
        <v>330.39000000000004</v>
      </c>
      <c r="F69" s="5" t="s">
        <v>9</v>
      </c>
      <c r="G69" s="2" t="s">
        <v>70</v>
      </c>
    </row>
    <row r="70" spans="1:7" x14ac:dyDescent="0.25">
      <c r="A70" s="11">
        <v>50</v>
      </c>
      <c r="B70" s="5" t="s">
        <v>500</v>
      </c>
      <c r="C70" s="11">
        <v>85584865987</v>
      </c>
      <c r="D70" s="5" t="s">
        <v>501</v>
      </c>
      <c r="E70" s="8">
        <f>1985.15+245.53+245.53</f>
        <v>2476.2100000000005</v>
      </c>
      <c r="F70" s="5" t="s">
        <v>9</v>
      </c>
      <c r="G70" s="2" t="s">
        <v>70</v>
      </c>
    </row>
    <row r="71" spans="1:7" x14ac:dyDescent="0.25">
      <c r="A71" s="11">
        <v>51</v>
      </c>
      <c r="B71" s="5" t="s">
        <v>85</v>
      </c>
      <c r="C71" s="11" t="s">
        <v>303</v>
      </c>
      <c r="D71" s="5" t="s">
        <v>303</v>
      </c>
      <c r="E71" s="8">
        <v>1890</v>
      </c>
      <c r="F71" s="5" t="s">
        <v>9</v>
      </c>
      <c r="G71" s="2" t="s">
        <v>86</v>
      </c>
    </row>
    <row r="72" spans="1:7" x14ac:dyDescent="0.25">
      <c r="A72" s="11">
        <v>52</v>
      </c>
      <c r="B72" s="5" t="s">
        <v>85</v>
      </c>
      <c r="C72" s="11" t="s">
        <v>303</v>
      </c>
      <c r="D72" s="5" t="s">
        <v>303</v>
      </c>
      <c r="E72" s="8">
        <v>2277.5100000000002</v>
      </c>
      <c r="F72" s="5" t="s">
        <v>9</v>
      </c>
      <c r="G72" s="2" t="s">
        <v>502</v>
      </c>
    </row>
    <row r="73" spans="1:7" x14ac:dyDescent="0.25">
      <c r="A73" s="11">
        <v>53</v>
      </c>
      <c r="B73" s="5" t="s">
        <v>503</v>
      </c>
      <c r="C73" s="11">
        <v>82510351433</v>
      </c>
      <c r="D73" s="5" t="s">
        <v>504</v>
      </c>
      <c r="E73" s="8">
        <f>547.44+131.65+1021.01</f>
        <v>1700.1</v>
      </c>
      <c r="F73" s="5" t="s">
        <v>9</v>
      </c>
      <c r="G73" s="2" t="s">
        <v>20</v>
      </c>
    </row>
    <row r="74" spans="1:7" x14ac:dyDescent="0.25">
      <c r="A74" s="11">
        <v>54</v>
      </c>
      <c r="B74" s="5" t="s">
        <v>505</v>
      </c>
      <c r="C74" s="11">
        <v>25712329343</v>
      </c>
      <c r="D74" s="5" t="s">
        <v>506</v>
      </c>
      <c r="E74" s="8">
        <f>331.66</f>
        <v>331.66</v>
      </c>
      <c r="F74" s="5" t="s">
        <v>9</v>
      </c>
      <c r="G74" s="2" t="s">
        <v>20</v>
      </c>
    </row>
    <row r="75" spans="1:7" x14ac:dyDescent="0.25">
      <c r="A75" s="11">
        <v>55</v>
      </c>
      <c r="B75" s="5" t="s">
        <v>349</v>
      </c>
      <c r="C75" s="11">
        <v>80805858278</v>
      </c>
      <c r="D75" s="5" t="s">
        <v>138</v>
      </c>
      <c r="E75" s="8">
        <f>35.63</f>
        <v>35.630000000000003</v>
      </c>
      <c r="F75" s="5" t="s">
        <v>9</v>
      </c>
      <c r="G75" s="2" t="s">
        <v>43</v>
      </c>
    </row>
    <row r="76" spans="1:7" x14ac:dyDescent="0.25">
      <c r="A76" s="11">
        <v>56</v>
      </c>
      <c r="B76" s="5" t="s">
        <v>458</v>
      </c>
      <c r="C76" s="11">
        <v>36856583241</v>
      </c>
      <c r="D76" s="5" t="s">
        <v>460</v>
      </c>
      <c r="E76" s="8">
        <v>125000</v>
      </c>
      <c r="F76" s="5" t="s">
        <v>9</v>
      </c>
      <c r="G76" s="2" t="s">
        <v>459</v>
      </c>
    </row>
    <row r="77" spans="1:7" x14ac:dyDescent="0.25">
      <c r="A77" s="11">
        <v>57</v>
      </c>
      <c r="B77" s="5" t="s">
        <v>507</v>
      </c>
      <c r="C77" s="11">
        <v>18376805890</v>
      </c>
      <c r="D77" s="5" t="s">
        <v>508</v>
      </c>
      <c r="E77" s="15">
        <v>112.5</v>
      </c>
      <c r="F77" s="19" t="s">
        <v>9</v>
      </c>
      <c r="G77" s="25" t="s">
        <v>509</v>
      </c>
    </row>
    <row r="78" spans="1:7" x14ac:dyDescent="0.25">
      <c r="A78" s="11">
        <v>58</v>
      </c>
      <c r="B78" s="5" t="s">
        <v>225</v>
      </c>
      <c r="C78" s="11" t="s">
        <v>15</v>
      </c>
      <c r="D78" s="5" t="s">
        <v>15</v>
      </c>
      <c r="E78" s="8">
        <v>200</v>
      </c>
      <c r="F78" s="5" t="s">
        <v>9</v>
      </c>
      <c r="G78" s="2" t="s">
        <v>99</v>
      </c>
    </row>
    <row r="79" spans="1:7" x14ac:dyDescent="0.25">
      <c r="A79" s="11">
        <v>59</v>
      </c>
      <c r="B79" s="19" t="s">
        <v>431</v>
      </c>
      <c r="C79" s="35" t="s">
        <v>433</v>
      </c>
      <c r="D79" s="19" t="s">
        <v>432</v>
      </c>
      <c r="E79" s="15">
        <f>25000</f>
        <v>25000</v>
      </c>
      <c r="F79" s="19" t="s">
        <v>9</v>
      </c>
      <c r="G79" s="25" t="s">
        <v>20</v>
      </c>
    </row>
    <row r="80" spans="1:7" x14ac:dyDescent="0.25">
      <c r="A80" s="11">
        <v>60</v>
      </c>
      <c r="B80" s="5" t="s">
        <v>265</v>
      </c>
      <c r="C80" s="11">
        <v>32371574171</v>
      </c>
      <c r="D80" s="5" t="s">
        <v>266</v>
      </c>
      <c r="E80" s="8">
        <v>500</v>
      </c>
      <c r="F80" s="5" t="s">
        <v>9</v>
      </c>
      <c r="G80" s="2" t="s">
        <v>131</v>
      </c>
    </row>
    <row r="81" spans="1:7" x14ac:dyDescent="0.25">
      <c r="A81" s="11">
        <v>61</v>
      </c>
      <c r="B81" s="5" t="s">
        <v>56</v>
      </c>
      <c r="C81" s="11">
        <v>42889250808</v>
      </c>
      <c r="D81" s="5" t="s">
        <v>57</v>
      </c>
      <c r="E81" s="8">
        <v>66.84</v>
      </c>
      <c r="F81" s="5" t="s">
        <v>9</v>
      </c>
      <c r="G81" s="2" t="s">
        <v>55</v>
      </c>
    </row>
    <row r="82" spans="1:7" x14ac:dyDescent="0.25">
      <c r="A82" s="11">
        <v>62</v>
      </c>
      <c r="B82" s="36" t="s">
        <v>410</v>
      </c>
      <c r="C82" s="37">
        <v>80653493587</v>
      </c>
      <c r="D82" s="36" t="s">
        <v>411</v>
      </c>
      <c r="E82" s="15">
        <v>825</v>
      </c>
      <c r="F82" s="19" t="s">
        <v>9</v>
      </c>
      <c r="G82" s="25" t="s">
        <v>20</v>
      </c>
    </row>
    <row r="83" spans="1:7" x14ac:dyDescent="0.25">
      <c r="A83" s="11">
        <v>63</v>
      </c>
      <c r="B83" s="5" t="s">
        <v>510</v>
      </c>
      <c r="C83" s="12" t="s">
        <v>511</v>
      </c>
      <c r="D83" s="5" t="s">
        <v>512</v>
      </c>
      <c r="E83" s="15">
        <v>4450</v>
      </c>
      <c r="F83" s="19" t="s">
        <v>9</v>
      </c>
      <c r="G83" s="25" t="s">
        <v>20</v>
      </c>
    </row>
    <row r="84" spans="1:7" x14ac:dyDescent="0.25">
      <c r="A84" s="11">
        <v>64</v>
      </c>
      <c r="B84" s="19" t="s">
        <v>513</v>
      </c>
      <c r="C84" s="35" t="s">
        <v>514</v>
      </c>
      <c r="D84" s="19" t="s">
        <v>515</v>
      </c>
      <c r="E84" s="15">
        <v>6293.75</v>
      </c>
      <c r="F84" s="19" t="s">
        <v>9</v>
      </c>
      <c r="G84" s="25" t="s">
        <v>20</v>
      </c>
    </row>
    <row r="85" spans="1:7" x14ac:dyDescent="0.25">
      <c r="A85" s="11">
        <v>65</v>
      </c>
      <c r="B85" s="5" t="s">
        <v>516</v>
      </c>
      <c r="C85" s="11" t="s">
        <v>517</v>
      </c>
      <c r="D85" s="5" t="s">
        <v>518</v>
      </c>
      <c r="E85" s="15">
        <v>1580</v>
      </c>
      <c r="F85" s="19" t="s">
        <v>9</v>
      </c>
      <c r="G85" s="25" t="s">
        <v>20</v>
      </c>
    </row>
    <row r="86" spans="1:7" x14ac:dyDescent="0.25">
      <c r="A86" s="11">
        <v>66</v>
      </c>
      <c r="B86" s="5" t="s">
        <v>445</v>
      </c>
      <c r="C86" s="11">
        <v>18499608152</v>
      </c>
      <c r="D86" s="5" t="s">
        <v>328</v>
      </c>
      <c r="E86" s="15">
        <v>210.71</v>
      </c>
      <c r="F86" s="19" t="s">
        <v>9</v>
      </c>
      <c r="G86" s="25" t="s">
        <v>20</v>
      </c>
    </row>
    <row r="87" spans="1:7" x14ac:dyDescent="0.25">
      <c r="A87" s="11">
        <v>67</v>
      </c>
      <c r="B87" s="5" t="s">
        <v>519</v>
      </c>
      <c r="C87" s="11">
        <v>48685654424</v>
      </c>
      <c r="D87" s="5" t="s">
        <v>520</v>
      </c>
      <c r="E87" s="15">
        <f>22000+8750</f>
        <v>30750</v>
      </c>
      <c r="F87" s="19" t="s">
        <v>9</v>
      </c>
      <c r="G87" s="25" t="s">
        <v>20</v>
      </c>
    </row>
    <row r="88" spans="1:7" x14ac:dyDescent="0.25">
      <c r="A88" s="11">
        <v>68</v>
      </c>
      <c r="B88" s="5" t="s">
        <v>198</v>
      </c>
      <c r="C88" s="11" t="s">
        <v>200</v>
      </c>
      <c r="D88" s="5" t="s">
        <v>199</v>
      </c>
      <c r="E88" s="15">
        <f>4758+40000</f>
        <v>44758</v>
      </c>
      <c r="F88" s="19" t="s">
        <v>9</v>
      </c>
      <c r="G88" s="25" t="s">
        <v>20</v>
      </c>
    </row>
    <row r="89" spans="1:7" x14ac:dyDescent="0.25">
      <c r="A89" s="11">
        <v>69</v>
      </c>
      <c r="B89" s="5" t="s">
        <v>374</v>
      </c>
      <c r="C89" s="11">
        <v>43764396102</v>
      </c>
      <c r="D89" s="5" t="s">
        <v>375</v>
      </c>
      <c r="E89" s="15">
        <f>3555</f>
        <v>3555</v>
      </c>
      <c r="F89" s="19" t="s">
        <v>9</v>
      </c>
      <c r="G89" s="25" t="s">
        <v>20</v>
      </c>
    </row>
    <row r="90" spans="1:7" x14ac:dyDescent="0.25">
      <c r="A90" s="11">
        <v>70</v>
      </c>
      <c r="B90" s="5" t="s">
        <v>456</v>
      </c>
      <c r="C90" s="11">
        <v>10585552225</v>
      </c>
      <c r="D90" s="5" t="s">
        <v>457</v>
      </c>
      <c r="E90" s="15">
        <f>815.4</f>
        <v>815.4</v>
      </c>
      <c r="F90" s="19" t="s">
        <v>9</v>
      </c>
      <c r="G90" s="25" t="s">
        <v>20</v>
      </c>
    </row>
    <row r="91" spans="1:7" x14ac:dyDescent="0.25">
      <c r="A91" s="11">
        <v>71</v>
      </c>
      <c r="B91" s="5" t="s">
        <v>315</v>
      </c>
      <c r="C91" s="11">
        <v>44307963093</v>
      </c>
      <c r="D91" s="5" t="s">
        <v>316</v>
      </c>
      <c r="E91" s="15">
        <v>6812.5</v>
      </c>
      <c r="F91" s="19" t="s">
        <v>9</v>
      </c>
      <c r="G91" s="25" t="s">
        <v>20</v>
      </c>
    </row>
    <row r="92" spans="1:7" x14ac:dyDescent="0.25">
      <c r="A92" s="11">
        <v>72</v>
      </c>
      <c r="B92" s="5" t="s">
        <v>521</v>
      </c>
      <c r="C92" s="11">
        <v>67337315718</v>
      </c>
      <c r="D92" s="5" t="s">
        <v>522</v>
      </c>
      <c r="E92" s="15">
        <v>1286.25</v>
      </c>
      <c r="F92" s="19" t="s">
        <v>9</v>
      </c>
      <c r="G92" s="25" t="s">
        <v>20</v>
      </c>
    </row>
    <row r="93" spans="1:7" x14ac:dyDescent="0.25">
      <c r="A93" s="11">
        <v>73</v>
      </c>
      <c r="B93" s="5" t="s">
        <v>523</v>
      </c>
      <c r="C93" s="11">
        <v>99080771351</v>
      </c>
      <c r="D93" s="5" t="s">
        <v>524</v>
      </c>
      <c r="E93" s="15">
        <f>7440</f>
        <v>7440</v>
      </c>
      <c r="F93" s="19" t="s">
        <v>9</v>
      </c>
      <c r="G93" s="25" t="s">
        <v>20</v>
      </c>
    </row>
    <row r="94" spans="1:7" x14ac:dyDescent="0.25">
      <c r="A94" s="11">
        <v>74</v>
      </c>
      <c r="B94" s="5" t="s">
        <v>525</v>
      </c>
      <c r="C94" s="12">
        <v>71478484696</v>
      </c>
      <c r="D94" s="5" t="s">
        <v>526</v>
      </c>
      <c r="E94" s="15">
        <v>1375</v>
      </c>
      <c r="F94" s="19" t="s">
        <v>9</v>
      </c>
      <c r="G94" s="25" t="s">
        <v>20</v>
      </c>
    </row>
    <row r="95" spans="1:7" x14ac:dyDescent="0.25">
      <c r="A95" s="11">
        <v>75</v>
      </c>
      <c r="B95" s="5" t="s">
        <v>527</v>
      </c>
      <c r="C95" s="11" t="s">
        <v>528</v>
      </c>
      <c r="D95" s="5" t="s">
        <v>529</v>
      </c>
      <c r="E95" s="15">
        <v>6486</v>
      </c>
      <c r="F95" s="19" t="s">
        <v>9</v>
      </c>
      <c r="G95" s="25" t="s">
        <v>20</v>
      </c>
    </row>
    <row r="96" spans="1:7" x14ac:dyDescent="0.25">
      <c r="A96" s="11">
        <v>76</v>
      </c>
      <c r="B96" s="19" t="s">
        <v>530</v>
      </c>
      <c r="C96" s="30">
        <v>26950396239</v>
      </c>
      <c r="D96" s="19" t="s">
        <v>531</v>
      </c>
      <c r="E96" s="15">
        <f>1097.5+2195</f>
        <v>3292.5</v>
      </c>
      <c r="F96" s="19" t="s">
        <v>9</v>
      </c>
      <c r="G96" s="25" t="s">
        <v>20</v>
      </c>
    </row>
    <row r="97" spans="1:7" x14ac:dyDescent="0.25">
      <c r="A97" s="11">
        <v>77</v>
      </c>
      <c r="B97" s="5" t="s">
        <v>532</v>
      </c>
      <c r="C97" s="12" t="s">
        <v>533</v>
      </c>
      <c r="D97" s="5" t="s">
        <v>534</v>
      </c>
      <c r="E97" s="8">
        <v>3375</v>
      </c>
      <c r="F97" s="5" t="s">
        <v>9</v>
      </c>
      <c r="G97" s="2" t="s">
        <v>256</v>
      </c>
    </row>
    <row r="98" spans="1:7" x14ac:dyDescent="0.25">
      <c r="A98" s="11">
        <v>78</v>
      </c>
      <c r="B98" s="19" t="s">
        <v>535</v>
      </c>
      <c r="C98" s="35" t="s">
        <v>536</v>
      </c>
      <c r="D98" s="19" t="s">
        <v>537</v>
      </c>
      <c r="E98" s="15">
        <v>194.76</v>
      </c>
      <c r="F98" s="19" t="s">
        <v>9</v>
      </c>
      <c r="G98" s="25" t="s">
        <v>20</v>
      </c>
    </row>
    <row r="99" spans="1:7" x14ac:dyDescent="0.25">
      <c r="A99" s="11">
        <v>79</v>
      </c>
      <c r="B99" s="19" t="s">
        <v>538</v>
      </c>
      <c r="C99" s="30" t="s">
        <v>539</v>
      </c>
      <c r="D99" s="19" t="s">
        <v>540</v>
      </c>
      <c r="E99" s="15">
        <v>9906</v>
      </c>
      <c r="F99" s="19" t="s">
        <v>9</v>
      </c>
      <c r="G99" s="25" t="s">
        <v>20</v>
      </c>
    </row>
    <row r="100" spans="1:7" x14ac:dyDescent="0.25">
      <c r="A100" s="11">
        <v>80</v>
      </c>
      <c r="B100" s="19" t="s">
        <v>541</v>
      </c>
      <c r="C100" s="30">
        <v>54178780752</v>
      </c>
      <c r="D100" s="19" t="s">
        <v>542</v>
      </c>
      <c r="E100" s="15">
        <v>294.7</v>
      </c>
      <c r="F100" s="19" t="s">
        <v>9</v>
      </c>
      <c r="G100" s="25" t="s">
        <v>95</v>
      </c>
    </row>
    <row r="101" spans="1:7" x14ac:dyDescent="0.25">
      <c r="A101" s="11">
        <v>81</v>
      </c>
      <c r="B101" s="19" t="s">
        <v>350</v>
      </c>
      <c r="C101" s="30">
        <v>86648038250</v>
      </c>
      <c r="D101" s="19" t="s">
        <v>329</v>
      </c>
      <c r="E101" s="15">
        <f>2*81.25</f>
        <v>162.5</v>
      </c>
      <c r="F101" s="19" t="s">
        <v>9</v>
      </c>
      <c r="G101" s="25" t="s">
        <v>490</v>
      </c>
    </row>
    <row r="102" spans="1:7" x14ac:dyDescent="0.25">
      <c r="A102" s="11">
        <v>82</v>
      </c>
      <c r="B102" s="5" t="s">
        <v>153</v>
      </c>
      <c r="C102" s="11">
        <v>83416546499</v>
      </c>
      <c r="D102" s="5" t="s">
        <v>156</v>
      </c>
      <c r="E102" s="8">
        <v>37.49</v>
      </c>
      <c r="F102" s="5" t="s">
        <v>9</v>
      </c>
      <c r="G102" s="2" t="s">
        <v>43</v>
      </c>
    </row>
    <row r="103" spans="1:7" x14ac:dyDescent="0.25">
      <c r="A103" s="11">
        <v>83</v>
      </c>
      <c r="B103" s="19" t="s">
        <v>543</v>
      </c>
      <c r="C103" s="30">
        <v>58203211592</v>
      </c>
      <c r="D103" s="19" t="s">
        <v>544</v>
      </c>
      <c r="E103" s="15">
        <f>220.8+40+7.5+9.9</f>
        <v>278.2</v>
      </c>
      <c r="F103" s="19" t="s">
        <v>9</v>
      </c>
      <c r="G103" s="25" t="s">
        <v>96</v>
      </c>
    </row>
    <row r="104" spans="1:7" x14ac:dyDescent="0.25">
      <c r="A104" s="11">
        <v>84</v>
      </c>
      <c r="B104" s="19" t="s">
        <v>545</v>
      </c>
      <c r="C104" s="30">
        <v>66435484048</v>
      </c>
      <c r="D104" s="19" t="s">
        <v>546</v>
      </c>
      <c r="E104" s="15">
        <v>229.88</v>
      </c>
      <c r="F104" s="19" t="s">
        <v>9</v>
      </c>
      <c r="G104" s="25" t="s">
        <v>20</v>
      </c>
    </row>
    <row r="105" spans="1:7" x14ac:dyDescent="0.25">
      <c r="A105" s="11">
        <v>85</v>
      </c>
      <c r="B105" s="5" t="s">
        <v>145</v>
      </c>
      <c r="C105" s="11">
        <v>51846314410</v>
      </c>
      <c r="D105" s="5" t="s">
        <v>146</v>
      </c>
      <c r="E105" s="15">
        <f>791.4</f>
        <v>791.4</v>
      </c>
      <c r="F105" s="19" t="s">
        <v>9</v>
      </c>
      <c r="G105" s="25" t="s">
        <v>20</v>
      </c>
    </row>
    <row r="106" spans="1:7" x14ac:dyDescent="0.25">
      <c r="A106" s="11">
        <v>86</v>
      </c>
      <c r="B106" s="5" t="s">
        <v>547</v>
      </c>
      <c r="C106" s="12" t="s">
        <v>548</v>
      </c>
      <c r="D106" s="5" t="s">
        <v>549</v>
      </c>
      <c r="E106" s="8">
        <f>16.33+161.24</f>
        <v>177.57</v>
      </c>
      <c r="F106" s="5" t="s">
        <v>9</v>
      </c>
      <c r="G106" s="2" t="s">
        <v>550</v>
      </c>
    </row>
    <row r="107" spans="1:7" x14ac:dyDescent="0.25">
      <c r="A107" s="11">
        <v>87</v>
      </c>
      <c r="B107" s="5" t="s">
        <v>551</v>
      </c>
      <c r="C107" s="12" t="s">
        <v>552</v>
      </c>
      <c r="D107" s="5" t="s">
        <v>553</v>
      </c>
      <c r="E107" s="8">
        <v>4602</v>
      </c>
      <c r="F107" s="5" t="s">
        <v>9</v>
      </c>
      <c r="G107" s="2" t="s">
        <v>20</v>
      </c>
    </row>
    <row r="108" spans="1:7" x14ac:dyDescent="0.25">
      <c r="A108" s="11">
        <v>88</v>
      </c>
      <c r="B108" s="5" t="s">
        <v>554</v>
      </c>
      <c r="C108" s="11">
        <v>40480660548</v>
      </c>
      <c r="D108" s="5" t="s">
        <v>555</v>
      </c>
      <c r="E108" s="15">
        <f>5000+12805</f>
        <v>17805</v>
      </c>
      <c r="F108" s="19" t="s">
        <v>9</v>
      </c>
      <c r="G108" s="25" t="s">
        <v>20</v>
      </c>
    </row>
    <row r="109" spans="1:7" x14ac:dyDescent="0.25">
      <c r="A109" s="11">
        <v>89</v>
      </c>
      <c r="B109" s="5" t="s">
        <v>556</v>
      </c>
      <c r="C109" s="11" t="s">
        <v>557</v>
      </c>
      <c r="D109" s="5" t="s">
        <v>558</v>
      </c>
      <c r="E109" s="15">
        <f>1789.56</f>
        <v>1789.56</v>
      </c>
      <c r="F109" s="19" t="s">
        <v>9</v>
      </c>
      <c r="G109" s="25" t="s">
        <v>20</v>
      </c>
    </row>
    <row r="110" spans="1:7" x14ac:dyDescent="0.25">
      <c r="A110" s="11">
        <v>90</v>
      </c>
      <c r="B110" s="19" t="s">
        <v>559</v>
      </c>
      <c r="C110" s="30">
        <v>77553867416</v>
      </c>
      <c r="D110" s="19" t="s">
        <v>560</v>
      </c>
      <c r="E110" s="15">
        <v>81.25</v>
      </c>
      <c r="F110" s="19" t="s">
        <v>9</v>
      </c>
      <c r="G110" s="25" t="s">
        <v>72</v>
      </c>
    </row>
    <row r="111" spans="1:7" x14ac:dyDescent="0.25">
      <c r="A111" s="11">
        <v>91</v>
      </c>
      <c r="B111" s="19" t="s">
        <v>561</v>
      </c>
      <c r="C111" s="30">
        <v>87528263661</v>
      </c>
      <c r="D111" s="19" t="s">
        <v>562</v>
      </c>
      <c r="E111" s="15">
        <v>40.659999999999997</v>
      </c>
      <c r="F111" s="19" t="s">
        <v>9</v>
      </c>
      <c r="G111" s="25" t="s">
        <v>20</v>
      </c>
    </row>
    <row r="112" spans="1:7" x14ac:dyDescent="0.25">
      <c r="A112" s="11">
        <v>92</v>
      </c>
      <c r="B112" s="5" t="s">
        <v>392</v>
      </c>
      <c r="C112" s="11">
        <v>71116385993</v>
      </c>
      <c r="D112" s="5" t="s">
        <v>393</v>
      </c>
      <c r="E112" s="15">
        <f>10.75</f>
        <v>10.75</v>
      </c>
      <c r="F112" s="19" t="s">
        <v>9</v>
      </c>
      <c r="G112" s="25" t="s">
        <v>20</v>
      </c>
    </row>
    <row r="113" spans="1:7" x14ac:dyDescent="0.25">
      <c r="A113" s="11">
        <v>93</v>
      </c>
      <c r="B113" s="5" t="s">
        <v>452</v>
      </c>
      <c r="C113" s="11">
        <v>18810142900</v>
      </c>
      <c r="D113" s="5" t="s">
        <v>453</v>
      </c>
      <c r="E113" s="15">
        <f>125.88</f>
        <v>125.88</v>
      </c>
      <c r="F113" s="19" t="s">
        <v>9</v>
      </c>
      <c r="G113" s="25" t="s">
        <v>20</v>
      </c>
    </row>
    <row r="114" spans="1:7" x14ac:dyDescent="0.25">
      <c r="A114" s="11">
        <v>94</v>
      </c>
      <c r="B114" s="5" t="s">
        <v>563</v>
      </c>
      <c r="C114" s="11" t="s">
        <v>564</v>
      </c>
      <c r="D114" s="5" t="s">
        <v>565</v>
      </c>
      <c r="E114" s="15">
        <v>685.24</v>
      </c>
      <c r="F114" s="19" t="s">
        <v>9</v>
      </c>
      <c r="G114" s="25" t="s">
        <v>20</v>
      </c>
    </row>
    <row r="115" spans="1:7" x14ac:dyDescent="0.25">
      <c r="A115" s="11">
        <v>95</v>
      </c>
      <c r="B115" s="5" t="s">
        <v>566</v>
      </c>
      <c r="C115" s="11">
        <v>46289034988</v>
      </c>
      <c r="D115" s="5" t="s">
        <v>567</v>
      </c>
      <c r="E115" s="8">
        <f>3055</f>
        <v>3055</v>
      </c>
      <c r="F115" s="5" t="s">
        <v>9</v>
      </c>
      <c r="G115" s="2" t="s">
        <v>568</v>
      </c>
    </row>
    <row r="116" spans="1:7" x14ac:dyDescent="0.25">
      <c r="A116" s="11">
        <v>96</v>
      </c>
      <c r="B116" s="5" t="s">
        <v>569</v>
      </c>
      <c r="C116" s="11">
        <v>27919002370</v>
      </c>
      <c r="D116" s="5" t="s">
        <v>570</v>
      </c>
      <c r="E116" s="15">
        <f>181.88</f>
        <v>181.88</v>
      </c>
      <c r="F116" s="19" t="s">
        <v>9</v>
      </c>
      <c r="G116" s="25" t="s">
        <v>20</v>
      </c>
    </row>
    <row r="117" spans="1:7" x14ac:dyDescent="0.25">
      <c r="A117" s="11">
        <v>97</v>
      </c>
      <c r="B117" s="19" t="s">
        <v>571</v>
      </c>
      <c r="C117" s="30" t="s">
        <v>572</v>
      </c>
      <c r="D117" s="19" t="s">
        <v>573</v>
      </c>
      <c r="E117" s="15">
        <v>1056</v>
      </c>
      <c r="F117" s="19" t="s">
        <v>9</v>
      </c>
      <c r="G117" s="25" t="s">
        <v>20</v>
      </c>
    </row>
    <row r="118" spans="1:7" x14ac:dyDescent="0.25">
      <c r="A118" s="11">
        <v>98</v>
      </c>
      <c r="B118" s="19" t="s">
        <v>574</v>
      </c>
      <c r="C118" s="30" t="s">
        <v>575</v>
      </c>
      <c r="D118" s="19" t="s">
        <v>576</v>
      </c>
      <c r="E118" s="15">
        <v>2444.06</v>
      </c>
      <c r="F118" s="19" t="s">
        <v>9</v>
      </c>
      <c r="G118" s="25" t="s">
        <v>20</v>
      </c>
    </row>
    <row r="119" spans="1:7" x14ac:dyDescent="0.25">
      <c r="A119" s="11">
        <v>99</v>
      </c>
      <c r="B119" s="5" t="s">
        <v>577</v>
      </c>
      <c r="C119" s="11">
        <v>50467974870</v>
      </c>
      <c r="D119" s="5" t="s">
        <v>578</v>
      </c>
      <c r="E119" s="8">
        <f>200.62+513.19+54.79</f>
        <v>768.6</v>
      </c>
      <c r="F119" s="5" t="s">
        <v>9</v>
      </c>
      <c r="G119" s="2" t="s">
        <v>20</v>
      </c>
    </row>
    <row r="120" spans="1:7" x14ac:dyDescent="0.25">
      <c r="A120" s="11">
        <v>100</v>
      </c>
      <c r="B120" s="5" t="s">
        <v>194</v>
      </c>
      <c r="C120" s="11">
        <v>32047404941</v>
      </c>
      <c r="D120" s="5" t="s">
        <v>195</v>
      </c>
      <c r="E120" s="8">
        <f>2000+2000</f>
        <v>4000</v>
      </c>
      <c r="F120" s="5" t="s">
        <v>9</v>
      </c>
      <c r="G120" s="2" t="s">
        <v>20</v>
      </c>
    </row>
    <row r="121" spans="1:7" x14ac:dyDescent="0.25">
      <c r="A121" s="11">
        <v>101</v>
      </c>
      <c r="B121" s="19" t="s">
        <v>579</v>
      </c>
      <c r="C121" s="30">
        <v>57636759173</v>
      </c>
      <c r="D121" s="19" t="s">
        <v>580</v>
      </c>
      <c r="E121" s="8">
        <v>618.61</v>
      </c>
      <c r="F121" s="5" t="s">
        <v>9</v>
      </c>
      <c r="G121" s="2" t="s">
        <v>581</v>
      </c>
    </row>
    <row r="122" spans="1:7" x14ac:dyDescent="0.25">
      <c r="A122" s="11">
        <v>102</v>
      </c>
      <c r="B122" s="5" t="s">
        <v>582</v>
      </c>
      <c r="C122" s="11">
        <v>72702911449</v>
      </c>
      <c r="D122" s="5" t="s">
        <v>583</v>
      </c>
      <c r="E122" s="8">
        <f>67.5+403.75</f>
        <v>471.25</v>
      </c>
      <c r="F122" s="5" t="s">
        <v>9</v>
      </c>
      <c r="G122" s="2" t="s">
        <v>584</v>
      </c>
    </row>
    <row r="123" spans="1:7" x14ac:dyDescent="0.25">
      <c r="A123" s="11">
        <v>103</v>
      </c>
      <c r="B123" s="5" t="s">
        <v>585</v>
      </c>
      <c r="C123" s="11">
        <v>21748984734</v>
      </c>
      <c r="D123" s="5" t="s">
        <v>586</v>
      </c>
      <c r="E123" s="8">
        <f>812.07+374.9</f>
        <v>1186.97</v>
      </c>
      <c r="F123" s="5" t="s">
        <v>9</v>
      </c>
      <c r="G123" s="2" t="s">
        <v>587</v>
      </c>
    </row>
    <row r="124" spans="1:7" x14ac:dyDescent="0.25">
      <c r="A124" s="11">
        <v>104</v>
      </c>
      <c r="B124" s="5" t="s">
        <v>588</v>
      </c>
      <c r="C124" s="11" t="s">
        <v>589</v>
      </c>
      <c r="D124" s="5" t="s">
        <v>590</v>
      </c>
      <c r="E124" s="8">
        <v>3430</v>
      </c>
      <c r="F124" s="5" t="s">
        <v>9</v>
      </c>
      <c r="G124" s="2" t="s">
        <v>20</v>
      </c>
    </row>
    <row r="125" spans="1:7" x14ac:dyDescent="0.25">
      <c r="A125" s="11">
        <v>105</v>
      </c>
      <c r="B125" s="5" t="s">
        <v>591</v>
      </c>
      <c r="C125" s="11">
        <v>43654507669</v>
      </c>
      <c r="D125" s="5" t="s">
        <v>592</v>
      </c>
      <c r="E125" s="8">
        <v>113</v>
      </c>
      <c r="F125" s="5" t="s">
        <v>9</v>
      </c>
      <c r="G125" s="2" t="s">
        <v>43</v>
      </c>
    </row>
    <row r="126" spans="1:7" x14ac:dyDescent="0.25">
      <c r="A126" s="11">
        <v>106</v>
      </c>
      <c r="B126" s="19" t="s">
        <v>593</v>
      </c>
      <c r="C126" s="30">
        <v>31470815690</v>
      </c>
      <c r="D126" s="19" t="s">
        <v>594</v>
      </c>
      <c r="E126" s="8">
        <v>625</v>
      </c>
      <c r="F126" s="5" t="s">
        <v>9</v>
      </c>
      <c r="G126" s="2" t="s">
        <v>20</v>
      </c>
    </row>
    <row r="127" spans="1:7" x14ac:dyDescent="0.25">
      <c r="A127" s="11">
        <v>107</v>
      </c>
      <c r="B127" s="19" t="s">
        <v>595</v>
      </c>
      <c r="C127" s="30">
        <v>74216428096</v>
      </c>
      <c r="D127" s="19" t="s">
        <v>596</v>
      </c>
      <c r="E127" s="8">
        <v>1200</v>
      </c>
      <c r="F127" s="5" t="s">
        <v>9</v>
      </c>
      <c r="G127" s="2" t="s">
        <v>597</v>
      </c>
    </row>
    <row r="128" spans="1:7" x14ac:dyDescent="0.25">
      <c r="A128" s="11">
        <v>108</v>
      </c>
      <c r="B128" s="19" t="s">
        <v>598</v>
      </c>
      <c r="C128" s="30">
        <v>88745489373</v>
      </c>
      <c r="D128" s="19" t="s">
        <v>599</v>
      </c>
      <c r="E128" s="8">
        <f>1250+2000+2000</f>
        <v>5250</v>
      </c>
      <c r="F128" s="5" t="s">
        <v>9</v>
      </c>
      <c r="G128" s="2" t="s">
        <v>20</v>
      </c>
    </row>
    <row r="129" spans="1:7" x14ac:dyDescent="0.25">
      <c r="A129" s="11">
        <v>109</v>
      </c>
      <c r="B129" s="19" t="s">
        <v>600</v>
      </c>
      <c r="C129" s="30">
        <v>79014493590</v>
      </c>
      <c r="D129" s="19" t="s">
        <v>601</v>
      </c>
      <c r="E129" s="8">
        <v>2855.5</v>
      </c>
      <c r="F129" s="5" t="s">
        <v>9</v>
      </c>
      <c r="G129" s="2" t="s">
        <v>95</v>
      </c>
    </row>
    <row r="130" spans="1:7" x14ac:dyDescent="0.25">
      <c r="A130" s="11">
        <v>110</v>
      </c>
      <c r="B130" s="5" t="s">
        <v>602</v>
      </c>
      <c r="C130" s="11">
        <v>89102192044</v>
      </c>
      <c r="D130" s="5" t="s">
        <v>603</v>
      </c>
      <c r="E130" s="8">
        <v>280</v>
      </c>
      <c r="F130" s="5" t="s">
        <v>9</v>
      </c>
      <c r="G130" s="2" t="s">
        <v>243</v>
      </c>
    </row>
    <row r="131" spans="1:7" x14ac:dyDescent="0.25">
      <c r="A131" s="11">
        <v>111</v>
      </c>
      <c r="B131" s="19" t="s">
        <v>604</v>
      </c>
      <c r="C131" s="30">
        <v>29224881750</v>
      </c>
      <c r="D131" s="19" t="s">
        <v>605</v>
      </c>
      <c r="E131" s="8">
        <v>108.46</v>
      </c>
      <c r="F131" s="5" t="s">
        <v>9</v>
      </c>
      <c r="G131" s="2" t="s">
        <v>20</v>
      </c>
    </row>
    <row r="132" spans="1:7" x14ac:dyDescent="0.25">
      <c r="A132" s="11">
        <v>112</v>
      </c>
      <c r="B132" s="5" t="s">
        <v>606</v>
      </c>
      <c r="C132" s="11">
        <v>75989437093</v>
      </c>
      <c r="D132" s="5" t="s">
        <v>607</v>
      </c>
      <c r="E132" s="8">
        <v>378.2</v>
      </c>
      <c r="F132" s="5" t="s">
        <v>9</v>
      </c>
      <c r="G132" s="2" t="s">
        <v>20</v>
      </c>
    </row>
    <row r="133" spans="1:7" x14ac:dyDescent="0.25">
      <c r="A133" s="11">
        <v>113</v>
      </c>
      <c r="B133" s="19" t="s">
        <v>608</v>
      </c>
      <c r="C133" s="30">
        <v>26261409086</v>
      </c>
      <c r="D133" s="19" t="s">
        <v>609</v>
      </c>
      <c r="E133" s="8">
        <v>4375</v>
      </c>
      <c r="F133" s="5" t="s">
        <v>9</v>
      </c>
      <c r="G133" s="2" t="s">
        <v>72</v>
      </c>
    </row>
    <row r="134" spans="1:7" x14ac:dyDescent="0.25">
      <c r="A134" s="11">
        <v>114</v>
      </c>
      <c r="B134" s="19" t="s">
        <v>610</v>
      </c>
      <c r="C134" s="30">
        <v>68766660289</v>
      </c>
      <c r="D134" s="19" t="s">
        <v>611</v>
      </c>
      <c r="E134" s="8">
        <f>25.56</f>
        <v>25.56</v>
      </c>
      <c r="F134" s="5" t="s">
        <v>9</v>
      </c>
      <c r="G134" s="2" t="s">
        <v>20</v>
      </c>
    </row>
    <row r="135" spans="1:7" x14ac:dyDescent="0.25">
      <c r="A135" s="11">
        <v>115</v>
      </c>
      <c r="B135" s="5" t="s">
        <v>612</v>
      </c>
      <c r="C135" s="11">
        <v>66865844122</v>
      </c>
      <c r="D135" s="5" t="s">
        <v>613</v>
      </c>
      <c r="E135" s="15">
        <v>158.12</v>
      </c>
      <c r="F135" s="19" t="s">
        <v>9</v>
      </c>
      <c r="G135" s="2" t="s">
        <v>20</v>
      </c>
    </row>
    <row r="136" spans="1:7" x14ac:dyDescent="0.25">
      <c r="A136" s="11">
        <v>116</v>
      </c>
      <c r="B136" s="19" t="s">
        <v>614</v>
      </c>
      <c r="C136" s="35" t="s">
        <v>615</v>
      </c>
      <c r="D136" s="19" t="s">
        <v>616</v>
      </c>
      <c r="E136" s="15">
        <v>250</v>
      </c>
      <c r="F136" s="19" t="s">
        <v>9</v>
      </c>
      <c r="G136" s="2" t="s">
        <v>96</v>
      </c>
    </row>
    <row r="137" spans="1:7" x14ac:dyDescent="0.25">
      <c r="A137" s="11">
        <v>117</v>
      </c>
      <c r="B137" s="19" t="s">
        <v>617</v>
      </c>
      <c r="C137" s="30">
        <v>62871653225</v>
      </c>
      <c r="D137" s="19" t="s">
        <v>618</v>
      </c>
      <c r="E137" s="15">
        <v>411.63</v>
      </c>
      <c r="F137" s="19" t="s">
        <v>9</v>
      </c>
      <c r="G137" s="2" t="s">
        <v>619</v>
      </c>
    </row>
    <row r="138" spans="1:7" x14ac:dyDescent="0.25">
      <c r="A138" s="11">
        <v>118</v>
      </c>
      <c r="B138" s="5" t="s">
        <v>620</v>
      </c>
      <c r="C138" s="11">
        <v>33548604975</v>
      </c>
      <c r="D138" s="5" t="s">
        <v>621</v>
      </c>
      <c r="E138" s="8">
        <f>153+110</f>
        <v>263</v>
      </c>
      <c r="F138" s="5" t="s">
        <v>9</v>
      </c>
      <c r="G138" s="2" t="s">
        <v>20</v>
      </c>
    </row>
    <row r="139" spans="1:7" x14ac:dyDescent="0.25">
      <c r="A139" s="11">
        <v>119</v>
      </c>
      <c r="B139" s="5" t="s">
        <v>622</v>
      </c>
      <c r="C139" s="11">
        <v>60591007270</v>
      </c>
      <c r="D139" s="5" t="s">
        <v>623</v>
      </c>
      <c r="E139" s="8">
        <v>3447.31</v>
      </c>
      <c r="F139" s="5" t="s">
        <v>9</v>
      </c>
      <c r="G139" s="2" t="s">
        <v>283</v>
      </c>
    </row>
    <row r="140" spans="1:7" x14ac:dyDescent="0.25">
      <c r="A140" s="11">
        <v>120</v>
      </c>
      <c r="B140" s="5" t="s">
        <v>418</v>
      </c>
      <c r="C140" s="11" t="s">
        <v>419</v>
      </c>
      <c r="D140" s="5" t="s">
        <v>420</v>
      </c>
      <c r="E140" s="8">
        <f>2726+2726</f>
        <v>5452</v>
      </c>
      <c r="F140" s="5" t="s">
        <v>9</v>
      </c>
      <c r="G140" s="2" t="s">
        <v>20</v>
      </c>
    </row>
    <row r="141" spans="1:7" x14ac:dyDescent="0.25">
      <c r="A141" s="11">
        <v>121</v>
      </c>
      <c r="B141" s="5" t="s">
        <v>269</v>
      </c>
      <c r="C141" s="11">
        <v>75202805533</v>
      </c>
      <c r="D141" s="5" t="s">
        <v>274</v>
      </c>
      <c r="E141" s="8">
        <f>24.14</f>
        <v>24.14</v>
      </c>
      <c r="F141" s="5" t="s">
        <v>9</v>
      </c>
      <c r="G141" s="2" t="s">
        <v>20</v>
      </c>
    </row>
    <row r="142" spans="1:7" x14ac:dyDescent="0.25">
      <c r="A142" s="11">
        <v>122</v>
      </c>
      <c r="B142" s="5" t="s">
        <v>397</v>
      </c>
      <c r="C142" s="12" t="s">
        <v>399</v>
      </c>
      <c r="D142" s="5" t="s">
        <v>398</v>
      </c>
      <c r="E142" s="8">
        <f>2345.85+2000+3000+2534.48+2000</f>
        <v>11880.33</v>
      </c>
      <c r="F142" s="5" t="s">
        <v>9</v>
      </c>
      <c r="G142" s="2" t="s">
        <v>183</v>
      </c>
    </row>
    <row r="143" spans="1:7" x14ac:dyDescent="0.25">
      <c r="A143" s="11">
        <v>123</v>
      </c>
      <c r="B143" s="21" t="s">
        <v>408</v>
      </c>
      <c r="C143" s="22">
        <v>22248533094</v>
      </c>
      <c r="D143" s="21" t="s">
        <v>409</v>
      </c>
      <c r="E143" s="8">
        <f>283.2+396.3</f>
        <v>679.5</v>
      </c>
      <c r="F143" s="5" t="s">
        <v>9</v>
      </c>
      <c r="G143" s="2" t="s">
        <v>20</v>
      </c>
    </row>
    <row r="144" spans="1:7" x14ac:dyDescent="0.25">
      <c r="A144" s="11">
        <v>124</v>
      </c>
      <c r="B144" s="36" t="s">
        <v>414</v>
      </c>
      <c r="C144" s="37">
        <v>41025754642</v>
      </c>
      <c r="D144" s="36" t="s">
        <v>415</v>
      </c>
      <c r="E144" s="8">
        <f>1250</f>
        <v>1250</v>
      </c>
      <c r="F144" s="5" t="s">
        <v>9</v>
      </c>
      <c r="G144" s="2" t="s">
        <v>55</v>
      </c>
    </row>
    <row r="145" spans="1:7" x14ac:dyDescent="0.25">
      <c r="A145" s="11">
        <v>125</v>
      </c>
      <c r="B145" s="5" t="s">
        <v>379</v>
      </c>
      <c r="C145" s="11">
        <v>59739812601</v>
      </c>
      <c r="D145" s="5" t="s">
        <v>380</v>
      </c>
      <c r="E145" s="8">
        <f>5036.25</f>
        <v>5036.25</v>
      </c>
      <c r="F145" s="5" t="s">
        <v>9</v>
      </c>
      <c r="G145" s="2" t="s">
        <v>20</v>
      </c>
    </row>
    <row r="146" spans="1:7" x14ac:dyDescent="0.25">
      <c r="A146" s="11">
        <v>126</v>
      </c>
      <c r="B146" s="5" t="s">
        <v>267</v>
      </c>
      <c r="C146" s="11">
        <v>22911773746</v>
      </c>
      <c r="D146" s="5" t="s">
        <v>268</v>
      </c>
      <c r="E146" s="8">
        <f>545.63+1682.05+1000+6224.98</f>
        <v>9452.66</v>
      </c>
      <c r="F146" s="5" t="s">
        <v>9</v>
      </c>
      <c r="G146" s="2" t="s">
        <v>20</v>
      </c>
    </row>
    <row r="147" spans="1:7" x14ac:dyDescent="0.25">
      <c r="A147" s="11">
        <v>127</v>
      </c>
      <c r="B147" s="5" t="s">
        <v>624</v>
      </c>
      <c r="C147" s="12" t="s">
        <v>625</v>
      </c>
      <c r="D147" s="5" t="s">
        <v>626</v>
      </c>
      <c r="E147" s="8">
        <v>374.3</v>
      </c>
      <c r="F147" s="5" t="s">
        <v>9</v>
      </c>
      <c r="G147" s="2" t="s">
        <v>20</v>
      </c>
    </row>
    <row r="148" spans="1:7" x14ac:dyDescent="0.25">
      <c r="A148" s="11">
        <v>128</v>
      </c>
      <c r="B148" s="5" t="s">
        <v>87</v>
      </c>
      <c r="C148" s="11">
        <v>51645411160</v>
      </c>
      <c r="D148" s="5" t="s">
        <v>114</v>
      </c>
      <c r="E148" s="8">
        <f>142.5</f>
        <v>142.5</v>
      </c>
      <c r="F148" s="5" t="s">
        <v>9</v>
      </c>
      <c r="G148" s="2" t="s">
        <v>20</v>
      </c>
    </row>
    <row r="149" spans="1:7" x14ac:dyDescent="0.25">
      <c r="A149" s="11">
        <v>129</v>
      </c>
      <c r="B149" s="5" t="s">
        <v>88</v>
      </c>
      <c r="C149" s="11" t="s">
        <v>115</v>
      </c>
      <c r="D149" s="5" t="s">
        <v>89</v>
      </c>
      <c r="E149" s="8">
        <f>5096+28668.77+34213.36</f>
        <v>67978.13</v>
      </c>
      <c r="F149" s="5" t="s">
        <v>9</v>
      </c>
      <c r="G149" s="2" t="s">
        <v>20</v>
      </c>
    </row>
    <row r="150" spans="1:7" x14ac:dyDescent="0.25">
      <c r="A150" s="11">
        <v>130</v>
      </c>
      <c r="B150" s="5" t="s">
        <v>627</v>
      </c>
      <c r="C150" s="11">
        <v>64862538713</v>
      </c>
      <c r="D150" s="5" t="s">
        <v>628</v>
      </c>
      <c r="E150" s="8">
        <f>142.38</f>
        <v>142.38</v>
      </c>
      <c r="F150" s="5" t="s">
        <v>9</v>
      </c>
      <c r="G150" s="2" t="s">
        <v>20</v>
      </c>
    </row>
    <row r="151" spans="1:7" x14ac:dyDescent="0.25">
      <c r="A151" s="11">
        <v>131</v>
      </c>
      <c r="B151" s="5" t="s">
        <v>90</v>
      </c>
      <c r="C151" s="11">
        <v>58353015102</v>
      </c>
      <c r="D151" s="5" t="s">
        <v>116</v>
      </c>
      <c r="E151" s="8">
        <f>45.38+146.48</f>
        <v>191.85999999999999</v>
      </c>
      <c r="F151" s="5" t="s">
        <v>9</v>
      </c>
      <c r="G151" s="2" t="s">
        <v>20</v>
      </c>
    </row>
    <row r="152" spans="1:7" x14ac:dyDescent="0.25">
      <c r="A152" s="11">
        <v>132</v>
      </c>
      <c r="B152" s="5" t="s">
        <v>295</v>
      </c>
      <c r="C152" s="11">
        <v>11294943436</v>
      </c>
      <c r="D152" s="5" t="s">
        <v>296</v>
      </c>
      <c r="E152" s="8">
        <f>61.41</f>
        <v>61.41</v>
      </c>
      <c r="F152" s="5" t="s">
        <v>9</v>
      </c>
      <c r="G152" s="2" t="s">
        <v>70</v>
      </c>
    </row>
    <row r="153" spans="1:7" ht="15.75" thickBot="1" x14ac:dyDescent="0.3">
      <c r="A153" s="11">
        <v>133</v>
      </c>
      <c r="B153" s="5" t="s">
        <v>91</v>
      </c>
      <c r="C153" s="11">
        <v>62534176727</v>
      </c>
      <c r="D153" s="5" t="s">
        <v>117</v>
      </c>
      <c r="E153" s="8">
        <f>2443.75+1467+5535</f>
        <v>9445.75</v>
      </c>
      <c r="F153" s="5" t="s">
        <v>9</v>
      </c>
      <c r="G153" s="2" t="s">
        <v>20</v>
      </c>
    </row>
    <row r="154" spans="1:7" x14ac:dyDescent="0.25">
      <c r="A154" s="65">
        <v>134</v>
      </c>
      <c r="B154" s="67" t="s">
        <v>92</v>
      </c>
      <c r="C154" s="65">
        <v>87682591133</v>
      </c>
      <c r="D154" s="67" t="s">
        <v>118</v>
      </c>
      <c r="E154" s="16">
        <f>13773.18+8598.5+10000+20144.67</f>
        <v>52516.35</v>
      </c>
      <c r="F154" s="67" t="s">
        <v>9</v>
      </c>
      <c r="G154" s="26" t="s">
        <v>20</v>
      </c>
    </row>
    <row r="155" spans="1:7" ht="15.75" thickBot="1" x14ac:dyDescent="0.3">
      <c r="A155" s="66"/>
      <c r="B155" s="68"/>
      <c r="C155" s="66"/>
      <c r="D155" s="68"/>
      <c r="E155" s="18">
        <f>50000</f>
        <v>50000</v>
      </c>
      <c r="F155" s="68"/>
      <c r="G155" s="27" t="s">
        <v>36</v>
      </c>
    </row>
    <row r="156" spans="1:7" x14ac:dyDescent="0.25">
      <c r="A156" s="31">
        <v>135</v>
      </c>
      <c r="B156" s="28" t="s">
        <v>93</v>
      </c>
      <c r="C156" s="31">
        <v>19849957757</v>
      </c>
      <c r="D156" s="28" t="s">
        <v>120</v>
      </c>
      <c r="E156" s="17">
        <f>3676.73+1830.05+323.65+5290.8+10000+5780</f>
        <v>26901.23</v>
      </c>
      <c r="F156" s="28" t="s">
        <v>9</v>
      </c>
      <c r="G156" s="29" t="s">
        <v>20</v>
      </c>
    </row>
    <row r="157" spans="1:7" x14ac:dyDescent="0.25">
      <c r="A157" s="11">
        <v>136</v>
      </c>
      <c r="B157" s="5" t="s">
        <v>94</v>
      </c>
      <c r="C157" s="11">
        <v>52233171260</v>
      </c>
      <c r="D157" s="5" t="s">
        <v>119</v>
      </c>
      <c r="E157" s="8">
        <f>7314.33+1658.25+14086.28</f>
        <v>23058.86</v>
      </c>
      <c r="F157" s="5" t="s">
        <v>9</v>
      </c>
      <c r="G157" s="2" t="s">
        <v>20</v>
      </c>
    </row>
    <row r="158" spans="1:7" x14ac:dyDescent="0.25">
      <c r="A158" s="11">
        <v>137</v>
      </c>
      <c r="B158" s="5" t="s">
        <v>629</v>
      </c>
      <c r="C158" s="11" t="s">
        <v>630</v>
      </c>
      <c r="D158" s="5" t="s">
        <v>631</v>
      </c>
      <c r="E158" s="8">
        <v>184</v>
      </c>
      <c r="F158" s="24" t="s">
        <v>9</v>
      </c>
      <c r="G158" s="2" t="s">
        <v>20</v>
      </c>
    </row>
    <row r="159" spans="1:7" x14ac:dyDescent="0.25">
      <c r="A159" s="11">
        <v>138</v>
      </c>
      <c r="B159" s="5" t="s">
        <v>632</v>
      </c>
      <c r="C159" s="11">
        <v>79517545745</v>
      </c>
      <c r="D159" s="5" t="s">
        <v>633</v>
      </c>
      <c r="E159" s="8">
        <f>71+71</f>
        <v>142</v>
      </c>
      <c r="F159" s="5" t="s">
        <v>9</v>
      </c>
      <c r="G159" s="2" t="s">
        <v>96</v>
      </c>
    </row>
    <row r="160" spans="1:7" x14ac:dyDescent="0.25">
      <c r="A160" s="11">
        <v>139</v>
      </c>
      <c r="B160" s="5" t="s">
        <v>634</v>
      </c>
      <c r="C160" s="11">
        <v>53102915080</v>
      </c>
      <c r="D160" s="5" t="s">
        <v>635</v>
      </c>
      <c r="E160" s="8">
        <f>718.75</f>
        <v>718.75</v>
      </c>
      <c r="F160" s="5" t="s">
        <v>9</v>
      </c>
      <c r="G160" s="2" t="s">
        <v>20</v>
      </c>
    </row>
    <row r="161" spans="1:7" x14ac:dyDescent="0.25">
      <c r="A161" s="11">
        <v>140</v>
      </c>
      <c r="B161" s="5" t="s">
        <v>15</v>
      </c>
      <c r="C161" s="11" t="s">
        <v>15</v>
      </c>
      <c r="D161" s="5" t="s">
        <v>15</v>
      </c>
      <c r="E161" s="8">
        <f>11099.9+2736.07</f>
        <v>13835.97</v>
      </c>
      <c r="F161" s="5" t="s">
        <v>9</v>
      </c>
      <c r="G161" s="2" t="s">
        <v>97</v>
      </c>
    </row>
    <row r="162" spans="1:7" x14ac:dyDescent="0.25">
      <c r="A162" s="11">
        <v>141</v>
      </c>
      <c r="B162" s="5" t="s">
        <v>15</v>
      </c>
      <c r="C162" s="11" t="s">
        <v>15</v>
      </c>
      <c r="D162" s="5" t="s">
        <v>15</v>
      </c>
      <c r="E162" s="8">
        <f>2970+167.97</f>
        <v>3137.97</v>
      </c>
      <c r="F162" s="5" t="s">
        <v>9</v>
      </c>
      <c r="G162" s="2" t="s">
        <v>98</v>
      </c>
    </row>
    <row r="163" spans="1:7" x14ac:dyDescent="0.25">
      <c r="A163" s="11">
        <v>142</v>
      </c>
      <c r="B163" s="5" t="s">
        <v>100</v>
      </c>
      <c r="C163" s="11">
        <v>87311810356</v>
      </c>
      <c r="D163" s="5" t="s">
        <v>121</v>
      </c>
      <c r="E163" s="8">
        <f>124.73+6.18</f>
        <v>130.91</v>
      </c>
      <c r="F163" s="5" t="s">
        <v>9</v>
      </c>
      <c r="G163" s="2" t="s">
        <v>99</v>
      </c>
    </row>
    <row r="164" spans="1:7" x14ac:dyDescent="0.25">
      <c r="A164" s="11">
        <v>143</v>
      </c>
      <c r="B164" s="5" t="s">
        <v>122</v>
      </c>
      <c r="C164" s="11">
        <v>62969535840</v>
      </c>
      <c r="D164" s="19" t="s">
        <v>123</v>
      </c>
      <c r="E164" s="15">
        <f>78.74</f>
        <v>78.739999999999995</v>
      </c>
      <c r="F164" s="19" t="s">
        <v>9</v>
      </c>
      <c r="G164" s="25" t="s">
        <v>20</v>
      </c>
    </row>
    <row r="165" spans="1:7" x14ac:dyDescent="0.25">
      <c r="A165" s="11">
        <v>144</v>
      </c>
      <c r="B165" s="5" t="s">
        <v>636</v>
      </c>
      <c r="C165" s="12" t="s">
        <v>637</v>
      </c>
      <c r="D165" s="5" t="s">
        <v>638</v>
      </c>
      <c r="E165" s="8">
        <f>801.78</f>
        <v>801.78</v>
      </c>
      <c r="F165" s="5" t="s">
        <v>9</v>
      </c>
      <c r="G165" s="2" t="s">
        <v>20</v>
      </c>
    </row>
    <row r="166" spans="1:7" x14ac:dyDescent="0.25">
      <c r="A166" s="11">
        <v>145</v>
      </c>
      <c r="B166" s="5" t="s">
        <v>359</v>
      </c>
      <c r="C166" s="11">
        <v>98164456048</v>
      </c>
      <c r="D166" s="5" t="s">
        <v>360</v>
      </c>
      <c r="E166" s="8">
        <v>1624.95</v>
      </c>
      <c r="F166" s="5" t="s">
        <v>9</v>
      </c>
      <c r="G166" s="2" t="s">
        <v>104</v>
      </c>
    </row>
    <row r="167" spans="1:7" x14ac:dyDescent="0.25">
      <c r="A167" s="11">
        <v>146</v>
      </c>
      <c r="B167" s="5" t="s">
        <v>105</v>
      </c>
      <c r="C167" s="11">
        <v>22694857747</v>
      </c>
      <c r="D167" s="5" t="s">
        <v>127</v>
      </c>
      <c r="E167" s="8">
        <f>365.25+105.72</f>
        <v>470.97</v>
      </c>
      <c r="F167" s="5" t="s">
        <v>9</v>
      </c>
      <c r="G167" s="2" t="s">
        <v>106</v>
      </c>
    </row>
    <row r="168" spans="1:7" ht="15.75" thickBot="1" x14ac:dyDescent="0.3">
      <c r="A168" s="11">
        <v>147</v>
      </c>
      <c r="B168" s="19" t="s">
        <v>639</v>
      </c>
      <c r="C168" s="30">
        <v>60690477713</v>
      </c>
      <c r="D168" s="19" t="s">
        <v>640</v>
      </c>
      <c r="E168" s="15">
        <f>486.31+2824.56</f>
        <v>3310.87</v>
      </c>
      <c r="F168" s="19" t="s">
        <v>9</v>
      </c>
      <c r="G168" s="25" t="s">
        <v>20</v>
      </c>
    </row>
    <row r="169" spans="1:7" x14ac:dyDescent="0.25">
      <c r="A169" s="65">
        <v>148</v>
      </c>
      <c r="B169" s="67" t="s">
        <v>107</v>
      </c>
      <c r="C169" s="65">
        <v>34421776805</v>
      </c>
      <c r="D169" s="67" t="s">
        <v>128</v>
      </c>
      <c r="E169" s="16">
        <f>25</f>
        <v>25</v>
      </c>
      <c r="F169" s="67" t="s">
        <v>9</v>
      </c>
      <c r="G169" s="26" t="s">
        <v>108</v>
      </c>
    </row>
    <row r="170" spans="1:7" ht="15.75" thickBot="1" x14ac:dyDescent="0.3">
      <c r="A170" s="66"/>
      <c r="B170" s="68"/>
      <c r="C170" s="66"/>
      <c r="D170" s="68"/>
      <c r="E170" s="18">
        <f>792.99+202.94+555.98+1288.85</f>
        <v>2840.76</v>
      </c>
      <c r="F170" s="68"/>
      <c r="G170" s="27" t="s">
        <v>20</v>
      </c>
    </row>
    <row r="171" spans="1:7" x14ac:dyDescent="0.25">
      <c r="A171" s="31">
        <v>149</v>
      </c>
      <c r="B171" s="28" t="s">
        <v>15</v>
      </c>
      <c r="C171" s="31" t="s">
        <v>15</v>
      </c>
      <c r="D171" s="28" t="s">
        <v>15</v>
      </c>
      <c r="E171" s="17">
        <v>112.56</v>
      </c>
      <c r="F171" s="28" t="s">
        <v>9</v>
      </c>
      <c r="G171" s="29" t="s">
        <v>282</v>
      </c>
    </row>
    <row r="172" spans="1:7" x14ac:dyDescent="0.25">
      <c r="A172" s="11">
        <v>150</v>
      </c>
      <c r="B172" s="5" t="s">
        <v>15</v>
      </c>
      <c r="C172" s="11" t="s">
        <v>15</v>
      </c>
      <c r="D172" s="5" t="s">
        <v>15</v>
      </c>
      <c r="E172" s="8">
        <v>410.22</v>
      </c>
      <c r="F172" s="5" t="s">
        <v>9</v>
      </c>
      <c r="G172" s="2" t="s">
        <v>109</v>
      </c>
    </row>
    <row r="173" spans="1:7" x14ac:dyDescent="0.25">
      <c r="A173" s="11">
        <v>151</v>
      </c>
      <c r="B173" s="5" t="s">
        <v>130</v>
      </c>
      <c r="C173" s="11">
        <v>49800593791</v>
      </c>
      <c r="D173" s="5" t="s">
        <v>132</v>
      </c>
      <c r="E173" s="8">
        <f>3558.92+1054.39+299.15</f>
        <v>4912.46</v>
      </c>
      <c r="F173" s="5" t="s">
        <v>9</v>
      </c>
      <c r="G173" s="2" t="s">
        <v>405</v>
      </c>
    </row>
    <row r="174" spans="1:7" ht="15.75" thickBot="1" x14ac:dyDescent="0.3">
      <c r="A174" s="11">
        <v>152</v>
      </c>
      <c r="B174" s="19" t="s">
        <v>641</v>
      </c>
      <c r="C174" s="30">
        <v>48491501393</v>
      </c>
      <c r="D174" s="19" t="s">
        <v>642</v>
      </c>
      <c r="E174" s="15">
        <f>5000+9180.73</f>
        <v>14180.73</v>
      </c>
      <c r="F174" s="19" t="s">
        <v>9</v>
      </c>
      <c r="G174" s="25" t="s">
        <v>20</v>
      </c>
    </row>
    <row r="175" spans="1:7" x14ac:dyDescent="0.25">
      <c r="A175" s="65">
        <v>153</v>
      </c>
      <c r="B175" s="67" t="s">
        <v>133</v>
      </c>
      <c r="C175" s="65">
        <v>47428597158</v>
      </c>
      <c r="D175" s="67" t="s">
        <v>135</v>
      </c>
      <c r="E175" s="16">
        <f>755+2137.13+1381.25+3050+3050</f>
        <v>10373.380000000001</v>
      </c>
      <c r="F175" s="67" t="s">
        <v>9</v>
      </c>
      <c r="G175" s="26" t="s">
        <v>20</v>
      </c>
    </row>
    <row r="176" spans="1:7" ht="15.75" thickBot="1" x14ac:dyDescent="0.3">
      <c r="A176" s="66"/>
      <c r="B176" s="68"/>
      <c r="C176" s="66"/>
      <c r="D176" s="68"/>
      <c r="E176" s="18">
        <f>1197.33+1930.76</f>
        <v>3128.09</v>
      </c>
      <c r="F176" s="68"/>
      <c r="G176" s="27" t="s">
        <v>643</v>
      </c>
    </row>
    <row r="177" spans="1:7" x14ac:dyDescent="0.25">
      <c r="A177" s="31">
        <v>154</v>
      </c>
      <c r="B177" s="28" t="s">
        <v>134</v>
      </c>
      <c r="C177" s="31">
        <v>26004523816</v>
      </c>
      <c r="D177" s="28" t="s">
        <v>136</v>
      </c>
      <c r="E177" s="17">
        <f>200+313.45</f>
        <v>513.45000000000005</v>
      </c>
      <c r="F177" s="28" t="s">
        <v>9</v>
      </c>
      <c r="G177" s="29" t="s">
        <v>20</v>
      </c>
    </row>
    <row r="178" spans="1:7" x14ac:dyDescent="0.25">
      <c r="A178" s="11">
        <v>155</v>
      </c>
      <c r="B178" s="5" t="s">
        <v>137</v>
      </c>
      <c r="C178" s="12" t="s">
        <v>139</v>
      </c>
      <c r="D178" s="5" t="s">
        <v>138</v>
      </c>
      <c r="E178" s="8">
        <f>384.19</f>
        <v>384.19</v>
      </c>
      <c r="F178" s="5" t="s">
        <v>9</v>
      </c>
      <c r="G178" s="2" t="s">
        <v>70</v>
      </c>
    </row>
    <row r="179" spans="1:7" x14ac:dyDescent="0.25">
      <c r="A179" s="11">
        <v>156</v>
      </c>
      <c r="B179" s="5" t="s">
        <v>644</v>
      </c>
      <c r="C179" s="11">
        <v>93475459627</v>
      </c>
      <c r="D179" s="5" t="s">
        <v>645</v>
      </c>
      <c r="E179" s="8">
        <v>169.25</v>
      </c>
      <c r="F179" s="5" t="s">
        <v>9</v>
      </c>
      <c r="G179" s="2" t="s">
        <v>20</v>
      </c>
    </row>
    <row r="180" spans="1:7" x14ac:dyDescent="0.25">
      <c r="A180" s="11">
        <v>157</v>
      </c>
      <c r="B180" s="5" t="s">
        <v>646</v>
      </c>
      <c r="C180" s="11">
        <v>44270699963</v>
      </c>
      <c r="D180" s="5" t="s">
        <v>647</v>
      </c>
      <c r="E180" s="8">
        <f>38.24+38.24</f>
        <v>76.48</v>
      </c>
      <c r="F180" s="5" t="s">
        <v>9</v>
      </c>
      <c r="G180" s="2" t="s">
        <v>70</v>
      </c>
    </row>
    <row r="181" spans="1:7" x14ac:dyDescent="0.25">
      <c r="A181" s="11">
        <v>158</v>
      </c>
      <c r="B181" s="5" t="s">
        <v>648</v>
      </c>
      <c r="C181" s="11" t="s">
        <v>649</v>
      </c>
      <c r="D181" s="5" t="s">
        <v>650</v>
      </c>
      <c r="E181" s="8">
        <f>4795.84</f>
        <v>4795.84</v>
      </c>
      <c r="F181" s="5" t="s">
        <v>9</v>
      </c>
      <c r="G181" s="2" t="s">
        <v>20</v>
      </c>
    </row>
    <row r="182" spans="1:7" x14ac:dyDescent="0.25">
      <c r="A182" s="11">
        <v>159</v>
      </c>
      <c r="B182" s="5" t="s">
        <v>141</v>
      </c>
      <c r="C182" s="11">
        <v>63988426425</v>
      </c>
      <c r="D182" s="5" t="s">
        <v>142</v>
      </c>
      <c r="E182" s="8">
        <f>5324.82+10134.69+5304.38+9933.04+4265</f>
        <v>34961.93</v>
      </c>
      <c r="F182" s="5" t="s">
        <v>9</v>
      </c>
      <c r="G182" s="2" t="s">
        <v>20</v>
      </c>
    </row>
    <row r="183" spans="1:7" x14ac:dyDescent="0.25">
      <c r="A183" s="11">
        <v>160</v>
      </c>
      <c r="B183" s="5" t="s">
        <v>651</v>
      </c>
      <c r="C183" s="12" t="s">
        <v>652</v>
      </c>
      <c r="D183" s="5" t="s">
        <v>653</v>
      </c>
      <c r="E183" s="8">
        <f>6420</f>
        <v>6420</v>
      </c>
      <c r="F183" s="5" t="s">
        <v>9</v>
      </c>
      <c r="G183" s="2" t="s">
        <v>20</v>
      </c>
    </row>
    <row r="184" spans="1:7" x14ac:dyDescent="0.25">
      <c r="A184" s="11">
        <v>161</v>
      </c>
      <c r="B184" s="5" t="s">
        <v>654</v>
      </c>
      <c r="C184" s="11">
        <v>31174430130</v>
      </c>
      <c r="D184" s="5" t="s">
        <v>655</v>
      </c>
      <c r="E184" s="8">
        <f>370.21</f>
        <v>370.21</v>
      </c>
      <c r="F184" s="5" t="s">
        <v>9</v>
      </c>
      <c r="G184" s="2" t="s">
        <v>70</v>
      </c>
    </row>
    <row r="185" spans="1:7" x14ac:dyDescent="0.25">
      <c r="A185" s="11">
        <v>162</v>
      </c>
      <c r="B185" s="5" t="s">
        <v>656</v>
      </c>
      <c r="C185" s="11">
        <v>96514832734</v>
      </c>
      <c r="D185" s="5" t="s">
        <v>657</v>
      </c>
      <c r="E185" s="8">
        <f>5937.5</f>
        <v>5937.5</v>
      </c>
      <c r="F185" s="5" t="s">
        <v>9</v>
      </c>
      <c r="G185" s="2" t="s">
        <v>20</v>
      </c>
    </row>
    <row r="186" spans="1:7" x14ac:dyDescent="0.25">
      <c r="A186" s="11">
        <v>163</v>
      </c>
      <c r="B186" s="5" t="s">
        <v>310</v>
      </c>
      <c r="C186" s="11" t="s">
        <v>312</v>
      </c>
      <c r="D186" s="5" t="s">
        <v>311</v>
      </c>
      <c r="E186" s="8">
        <f>356.04+57+7124.26</f>
        <v>7537.3</v>
      </c>
      <c r="F186" s="5" t="s">
        <v>9</v>
      </c>
      <c r="G186" s="2" t="s">
        <v>20</v>
      </c>
    </row>
    <row r="187" spans="1:7" x14ac:dyDescent="0.25">
      <c r="A187" s="11">
        <v>164</v>
      </c>
      <c r="B187" s="5" t="s">
        <v>143</v>
      </c>
      <c r="C187" s="11">
        <v>64546066176</v>
      </c>
      <c r="D187" s="5" t="s">
        <v>144</v>
      </c>
      <c r="E187" s="8">
        <f>22.31</f>
        <v>22.31</v>
      </c>
      <c r="F187" s="5" t="s">
        <v>9</v>
      </c>
      <c r="G187" s="2" t="s">
        <v>20</v>
      </c>
    </row>
    <row r="188" spans="1:7" x14ac:dyDescent="0.25">
      <c r="A188" s="11">
        <v>165</v>
      </c>
      <c r="B188" s="5" t="s">
        <v>160</v>
      </c>
      <c r="C188" s="11" t="s">
        <v>162</v>
      </c>
      <c r="D188" s="5" t="s">
        <v>161</v>
      </c>
      <c r="E188" s="8">
        <v>1623</v>
      </c>
      <c r="F188" s="5" t="s">
        <v>9</v>
      </c>
      <c r="G188" s="2" t="s">
        <v>20</v>
      </c>
    </row>
    <row r="189" spans="1:7" x14ac:dyDescent="0.25">
      <c r="A189" s="11">
        <v>166</v>
      </c>
      <c r="B189" s="5" t="s">
        <v>658</v>
      </c>
      <c r="C189" s="11">
        <v>93716144137</v>
      </c>
      <c r="D189" s="5" t="s">
        <v>659</v>
      </c>
      <c r="E189" s="8">
        <f>70</f>
        <v>70</v>
      </c>
      <c r="F189" s="5" t="s">
        <v>9</v>
      </c>
      <c r="G189" s="2" t="s">
        <v>20</v>
      </c>
    </row>
    <row r="190" spans="1:7" ht="15.75" thickBot="1" x14ac:dyDescent="0.3">
      <c r="A190" s="11">
        <v>167</v>
      </c>
      <c r="B190" s="19" t="s">
        <v>313</v>
      </c>
      <c r="C190" s="30">
        <v>30568370357</v>
      </c>
      <c r="D190" s="19" t="s">
        <v>314</v>
      </c>
      <c r="E190" s="15">
        <f>975+200+275</f>
        <v>1450</v>
      </c>
      <c r="F190" s="19" t="s">
        <v>9</v>
      </c>
      <c r="G190" s="25" t="s">
        <v>147</v>
      </c>
    </row>
    <row r="191" spans="1:7" x14ac:dyDescent="0.25">
      <c r="A191" s="65">
        <v>168</v>
      </c>
      <c r="B191" s="67" t="s">
        <v>151</v>
      </c>
      <c r="C191" s="65">
        <v>65952859647</v>
      </c>
      <c r="D191" s="67" t="s">
        <v>152</v>
      </c>
      <c r="E191" s="16">
        <f>750+3546.25+25760+19240</f>
        <v>49296.25</v>
      </c>
      <c r="F191" s="67" t="s">
        <v>9</v>
      </c>
      <c r="G191" s="26" t="s">
        <v>660</v>
      </c>
    </row>
    <row r="192" spans="1:7" ht="15.75" thickBot="1" x14ac:dyDescent="0.3">
      <c r="A192" s="66"/>
      <c r="B192" s="68"/>
      <c r="C192" s="66"/>
      <c r="D192" s="68"/>
      <c r="E192" s="18">
        <f>13211.25+36770+24240+21693.75</f>
        <v>95915</v>
      </c>
      <c r="F192" s="68"/>
      <c r="G192" s="27" t="s">
        <v>20</v>
      </c>
    </row>
    <row r="193" spans="1:7" x14ac:dyDescent="0.25">
      <c r="A193" s="11">
        <v>169</v>
      </c>
      <c r="B193" s="5" t="s">
        <v>154</v>
      </c>
      <c r="C193" s="11">
        <v>72836081238</v>
      </c>
      <c r="D193" s="5" t="s">
        <v>155</v>
      </c>
      <c r="E193" s="8">
        <f>10000+2612.5+12312.5</f>
        <v>24925</v>
      </c>
      <c r="F193" s="5" t="s">
        <v>9</v>
      </c>
      <c r="G193" s="2" t="s">
        <v>20</v>
      </c>
    </row>
    <row r="194" spans="1:7" x14ac:dyDescent="0.25">
      <c r="A194" s="11">
        <v>170</v>
      </c>
      <c r="B194" s="5" t="s">
        <v>661</v>
      </c>
      <c r="C194" s="11">
        <v>60314119747</v>
      </c>
      <c r="D194" s="5" t="s">
        <v>155</v>
      </c>
      <c r="E194" s="8">
        <f>2275+21406.11</f>
        <v>23681.11</v>
      </c>
      <c r="F194" s="5" t="s">
        <v>9</v>
      </c>
      <c r="G194" s="2" t="s">
        <v>20</v>
      </c>
    </row>
    <row r="195" spans="1:7" x14ac:dyDescent="0.25">
      <c r="A195" s="11">
        <v>171</v>
      </c>
      <c r="B195" s="5" t="s">
        <v>157</v>
      </c>
      <c r="C195" s="11" t="s">
        <v>158</v>
      </c>
      <c r="D195" s="5" t="s">
        <v>159</v>
      </c>
      <c r="E195" s="8">
        <f>6873.48+9086.23+5942.63</f>
        <v>21902.34</v>
      </c>
      <c r="F195" s="5" t="s">
        <v>9</v>
      </c>
      <c r="G195" s="2" t="s">
        <v>20</v>
      </c>
    </row>
    <row r="196" spans="1:7" x14ac:dyDescent="0.25">
      <c r="A196" s="11">
        <v>172</v>
      </c>
      <c r="B196" s="36" t="s">
        <v>163</v>
      </c>
      <c r="C196" s="50" t="s">
        <v>165</v>
      </c>
      <c r="D196" s="36" t="s">
        <v>164</v>
      </c>
      <c r="E196" s="8">
        <f>4250+2000+5625</f>
        <v>11875</v>
      </c>
      <c r="F196" s="5" t="s">
        <v>9</v>
      </c>
      <c r="G196" s="2" t="s">
        <v>20</v>
      </c>
    </row>
    <row r="197" spans="1:7" x14ac:dyDescent="0.25">
      <c r="A197" s="11">
        <v>173</v>
      </c>
      <c r="B197" s="5" t="s">
        <v>166</v>
      </c>
      <c r="C197" s="11">
        <v>95243482140</v>
      </c>
      <c r="D197" s="5" t="s">
        <v>167</v>
      </c>
      <c r="E197" s="8">
        <f>351+296.78+1341.25+640.41+771.93</f>
        <v>3401.37</v>
      </c>
      <c r="F197" s="5" t="s">
        <v>9</v>
      </c>
      <c r="G197" s="2" t="s">
        <v>20</v>
      </c>
    </row>
    <row r="198" spans="1:7" x14ac:dyDescent="0.25">
      <c r="A198" s="11">
        <v>174</v>
      </c>
      <c r="B198" s="5" t="s">
        <v>413</v>
      </c>
      <c r="C198" s="11">
        <v>74867487620</v>
      </c>
      <c r="D198" s="5" t="s">
        <v>168</v>
      </c>
      <c r="E198" s="8">
        <f>1269.75+677.11+1269.75+970.06+2111.89</f>
        <v>6298.5599999999995</v>
      </c>
      <c r="F198" s="5" t="s">
        <v>9</v>
      </c>
      <c r="G198" s="2" t="s">
        <v>20</v>
      </c>
    </row>
    <row r="199" spans="1:7" x14ac:dyDescent="0.25">
      <c r="A199" s="11">
        <v>175</v>
      </c>
      <c r="B199" s="5" t="s">
        <v>169</v>
      </c>
      <c r="C199" s="11">
        <v>98656691838</v>
      </c>
      <c r="D199" s="5" t="s">
        <v>170</v>
      </c>
      <c r="E199" s="8">
        <f>2793.75+6141.25+2975</f>
        <v>11910</v>
      </c>
      <c r="F199" s="5" t="s">
        <v>9</v>
      </c>
      <c r="G199" s="2" t="s">
        <v>20</v>
      </c>
    </row>
    <row r="200" spans="1:7" x14ac:dyDescent="0.25">
      <c r="A200" s="11">
        <v>176</v>
      </c>
      <c r="B200" s="5" t="s">
        <v>171</v>
      </c>
      <c r="C200" s="11">
        <v>15907062900</v>
      </c>
      <c r="D200" s="5" t="s">
        <v>173</v>
      </c>
      <c r="E200" s="8">
        <v>15115.96</v>
      </c>
      <c r="F200" s="5" t="s">
        <v>9</v>
      </c>
      <c r="G200" s="2" t="s">
        <v>172</v>
      </c>
    </row>
    <row r="201" spans="1:7" x14ac:dyDescent="0.25">
      <c r="A201" s="11">
        <v>177</v>
      </c>
      <c r="B201" s="5" t="s">
        <v>662</v>
      </c>
      <c r="C201" s="12" t="s">
        <v>663</v>
      </c>
      <c r="D201" s="5" t="s">
        <v>664</v>
      </c>
      <c r="E201" s="8">
        <f>72.29</f>
        <v>72.290000000000006</v>
      </c>
      <c r="F201" s="5" t="s">
        <v>9</v>
      </c>
      <c r="G201" s="2" t="s">
        <v>174</v>
      </c>
    </row>
    <row r="202" spans="1:7" x14ac:dyDescent="0.25">
      <c r="A202" s="11">
        <v>178</v>
      </c>
      <c r="B202" s="5" t="s">
        <v>175</v>
      </c>
      <c r="C202" s="11">
        <v>97994010225</v>
      </c>
      <c r="D202" s="5" t="s">
        <v>176</v>
      </c>
      <c r="E202" s="8">
        <f>182.63+560.64</f>
        <v>743.27</v>
      </c>
      <c r="F202" s="5" t="s">
        <v>9</v>
      </c>
      <c r="G202" s="2" t="s">
        <v>20</v>
      </c>
    </row>
    <row r="203" spans="1:7" x14ac:dyDescent="0.25">
      <c r="A203" s="11">
        <v>179</v>
      </c>
      <c r="B203" s="5" t="s">
        <v>179</v>
      </c>
      <c r="C203" s="11">
        <v>78969071801</v>
      </c>
      <c r="D203" s="5" t="s">
        <v>180</v>
      </c>
      <c r="E203" s="8">
        <f>330+858.41+1225.01+686.6+500.79</f>
        <v>3600.81</v>
      </c>
      <c r="F203" s="5" t="s">
        <v>9</v>
      </c>
      <c r="G203" s="2" t="s">
        <v>20</v>
      </c>
    </row>
    <row r="204" spans="1:7" x14ac:dyDescent="0.25">
      <c r="A204" s="11">
        <v>180</v>
      </c>
      <c r="B204" s="5" t="s">
        <v>184</v>
      </c>
      <c r="C204" s="11">
        <v>42769559951</v>
      </c>
      <c r="D204" s="5" t="s">
        <v>185</v>
      </c>
      <c r="E204" s="8">
        <f>5000+8242.45+6112.5</f>
        <v>19354.95</v>
      </c>
      <c r="F204" s="5" t="s">
        <v>9</v>
      </c>
      <c r="G204" s="2" t="s">
        <v>20</v>
      </c>
    </row>
    <row r="205" spans="1:7" x14ac:dyDescent="0.25">
      <c r="A205" s="11">
        <v>181</v>
      </c>
      <c r="B205" s="5" t="s">
        <v>665</v>
      </c>
      <c r="C205" s="11">
        <v>64021574271</v>
      </c>
      <c r="D205" s="5" t="s">
        <v>666</v>
      </c>
      <c r="E205" s="8">
        <f>170.81+1421.63+144.61+1708.06</f>
        <v>3445.11</v>
      </c>
      <c r="F205" s="5" t="s">
        <v>9</v>
      </c>
      <c r="G205" s="2" t="s">
        <v>20</v>
      </c>
    </row>
    <row r="206" spans="1:7" x14ac:dyDescent="0.25">
      <c r="A206" s="11">
        <v>182</v>
      </c>
      <c r="B206" s="5" t="s">
        <v>188</v>
      </c>
      <c r="C206" s="11">
        <v>48249084626</v>
      </c>
      <c r="D206" s="5" t="s">
        <v>189</v>
      </c>
      <c r="E206" s="8">
        <f>116.51+293.31+518.79+268.54</f>
        <v>1197.1499999999999</v>
      </c>
      <c r="F206" s="5" t="s">
        <v>9</v>
      </c>
      <c r="G206" s="2" t="s">
        <v>20</v>
      </c>
    </row>
    <row r="207" spans="1:7" x14ac:dyDescent="0.25">
      <c r="A207" s="11">
        <v>183</v>
      </c>
      <c r="B207" s="5" t="s">
        <v>190</v>
      </c>
      <c r="C207" s="11">
        <v>26901839603</v>
      </c>
      <c r="D207" s="5" t="s">
        <v>191</v>
      </c>
      <c r="E207" s="8">
        <f>912.5+224+1825</f>
        <v>2961.5</v>
      </c>
      <c r="F207" s="5" t="s">
        <v>9</v>
      </c>
      <c r="G207" s="2" t="s">
        <v>20</v>
      </c>
    </row>
    <row r="208" spans="1:7" x14ac:dyDescent="0.25">
      <c r="A208" s="11">
        <v>184</v>
      </c>
      <c r="B208" s="5" t="s">
        <v>667</v>
      </c>
      <c r="C208" s="11">
        <v>76080865307</v>
      </c>
      <c r="D208" s="5" t="s">
        <v>668</v>
      </c>
      <c r="E208" s="8">
        <f>85.56</f>
        <v>85.56</v>
      </c>
      <c r="F208" s="5" t="s">
        <v>9</v>
      </c>
      <c r="G208" s="2" t="s">
        <v>147</v>
      </c>
    </row>
    <row r="209" spans="1:7" x14ac:dyDescent="0.25">
      <c r="A209" s="11">
        <v>185</v>
      </c>
      <c r="B209" s="5" t="s">
        <v>196</v>
      </c>
      <c r="C209" s="11">
        <v>60365429880</v>
      </c>
      <c r="D209" s="5" t="s">
        <v>197</v>
      </c>
      <c r="E209" s="8">
        <f>149.31+167.38+26.34+346.08</f>
        <v>689.1099999999999</v>
      </c>
      <c r="F209" s="5" t="s">
        <v>9</v>
      </c>
      <c r="G209" s="2" t="s">
        <v>20</v>
      </c>
    </row>
    <row r="210" spans="1:7" x14ac:dyDescent="0.25">
      <c r="A210" s="11">
        <v>186</v>
      </c>
      <c r="B210" s="36" t="s">
        <v>201</v>
      </c>
      <c r="C210" s="37">
        <v>37879152548</v>
      </c>
      <c r="D210" s="36" t="s">
        <v>202</v>
      </c>
      <c r="E210" s="8">
        <f>578.25+1154.25+783.75+1134.75</f>
        <v>3651</v>
      </c>
      <c r="F210" s="36" t="s">
        <v>9</v>
      </c>
      <c r="G210" s="2" t="s">
        <v>20</v>
      </c>
    </row>
    <row r="211" spans="1:7" x14ac:dyDescent="0.25">
      <c r="A211" s="11">
        <v>187</v>
      </c>
      <c r="B211" s="5" t="s">
        <v>203</v>
      </c>
      <c r="C211" s="11">
        <v>90439696130</v>
      </c>
      <c r="D211" s="5" t="s">
        <v>204</v>
      </c>
      <c r="E211" s="8">
        <f>131.8+28.48</f>
        <v>160.28</v>
      </c>
      <c r="F211" s="5" t="s">
        <v>9</v>
      </c>
      <c r="G211" s="2" t="s">
        <v>20</v>
      </c>
    </row>
    <row r="212" spans="1:7" x14ac:dyDescent="0.25">
      <c r="A212" s="11">
        <v>188</v>
      </c>
      <c r="B212" s="5" t="s">
        <v>205</v>
      </c>
      <c r="C212" s="11">
        <v>39048902955</v>
      </c>
      <c r="D212" s="5" t="s">
        <v>206</v>
      </c>
      <c r="E212" s="8">
        <v>299.32</v>
      </c>
      <c r="F212" s="5" t="s">
        <v>9</v>
      </c>
      <c r="G212" s="2" t="s">
        <v>43</v>
      </c>
    </row>
    <row r="213" spans="1:7" x14ac:dyDescent="0.25">
      <c r="A213" s="11">
        <v>189</v>
      </c>
      <c r="B213" s="5" t="s">
        <v>207</v>
      </c>
      <c r="C213" s="11">
        <v>85375838060</v>
      </c>
      <c r="D213" s="5" t="s">
        <v>208</v>
      </c>
      <c r="E213" s="8">
        <v>285.5</v>
      </c>
      <c r="F213" s="5" t="s">
        <v>9</v>
      </c>
      <c r="G213" s="2" t="s">
        <v>43</v>
      </c>
    </row>
    <row r="214" spans="1:7" x14ac:dyDescent="0.25">
      <c r="A214" s="11">
        <v>190</v>
      </c>
      <c r="B214" s="5" t="s">
        <v>209</v>
      </c>
      <c r="C214" s="11">
        <v>55614719992</v>
      </c>
      <c r="D214" s="5" t="s">
        <v>210</v>
      </c>
      <c r="E214" s="8">
        <f>738.48+854.56+819+500.85+72.05</f>
        <v>2984.94</v>
      </c>
      <c r="F214" s="5" t="s">
        <v>9</v>
      </c>
      <c r="G214" s="2" t="s">
        <v>20</v>
      </c>
    </row>
    <row r="215" spans="1:7" x14ac:dyDescent="0.25">
      <c r="A215" s="11">
        <v>191</v>
      </c>
      <c r="B215" s="5" t="s">
        <v>211</v>
      </c>
      <c r="C215" s="11">
        <v>95325472047</v>
      </c>
      <c r="D215" s="5" t="s">
        <v>212</v>
      </c>
      <c r="E215" s="8">
        <f>1121.25+877.2+10638.99+9911.73+371.65</f>
        <v>22920.82</v>
      </c>
      <c r="F215" s="5" t="s">
        <v>9</v>
      </c>
      <c r="G215" s="2" t="s">
        <v>20</v>
      </c>
    </row>
    <row r="216" spans="1:7" x14ac:dyDescent="0.25">
      <c r="A216" s="11">
        <v>192</v>
      </c>
      <c r="B216" s="5" t="s">
        <v>213</v>
      </c>
      <c r="C216" s="11">
        <v>38411868043</v>
      </c>
      <c r="D216" s="5" t="s">
        <v>214</v>
      </c>
      <c r="E216" s="8">
        <f>3600+4337.5+1275+4621.88+6262.5</f>
        <v>20096.88</v>
      </c>
      <c r="F216" s="5" t="s">
        <v>9</v>
      </c>
      <c r="G216" s="2" t="s">
        <v>20</v>
      </c>
    </row>
    <row r="217" spans="1:7" x14ac:dyDescent="0.25">
      <c r="A217" s="11">
        <v>193</v>
      </c>
      <c r="B217" s="5" t="s">
        <v>669</v>
      </c>
      <c r="C217" s="11">
        <v>89027343720</v>
      </c>
      <c r="D217" s="5" t="s">
        <v>670</v>
      </c>
      <c r="E217" s="8">
        <f>160+307.25+290</f>
        <v>757.25</v>
      </c>
      <c r="F217" s="5" t="s">
        <v>9</v>
      </c>
      <c r="G217" s="2" t="s">
        <v>20</v>
      </c>
    </row>
    <row r="218" spans="1:7" x14ac:dyDescent="0.25">
      <c r="A218" s="11">
        <v>194</v>
      </c>
      <c r="B218" s="5" t="s">
        <v>215</v>
      </c>
      <c r="C218" s="11">
        <v>110752628</v>
      </c>
      <c r="D218" s="5" t="s">
        <v>218</v>
      </c>
      <c r="E218" s="8">
        <f>2025.23+727.2+2689.6+10000</f>
        <v>15442.03</v>
      </c>
      <c r="F218" s="5" t="s">
        <v>9</v>
      </c>
      <c r="G218" s="2" t="s">
        <v>20</v>
      </c>
    </row>
    <row r="219" spans="1:7" x14ac:dyDescent="0.25">
      <c r="A219" s="11">
        <v>195</v>
      </c>
      <c r="B219" s="5" t="s">
        <v>216</v>
      </c>
      <c r="C219" s="11">
        <v>85611744662</v>
      </c>
      <c r="D219" s="5" t="s">
        <v>217</v>
      </c>
      <c r="E219" s="8">
        <f>504.21</f>
        <v>504.21</v>
      </c>
      <c r="F219" s="5" t="s">
        <v>9</v>
      </c>
      <c r="G219" s="2" t="s">
        <v>20</v>
      </c>
    </row>
    <row r="220" spans="1:7" x14ac:dyDescent="0.25">
      <c r="A220" s="11">
        <v>196</v>
      </c>
      <c r="B220" s="5" t="s">
        <v>671</v>
      </c>
      <c r="C220" s="11">
        <v>57495737984</v>
      </c>
      <c r="D220" s="5" t="s">
        <v>672</v>
      </c>
      <c r="E220" s="8">
        <f>136+429.78+232.44</f>
        <v>798.22</v>
      </c>
      <c r="F220" s="5" t="s">
        <v>9</v>
      </c>
      <c r="G220" s="2" t="s">
        <v>147</v>
      </c>
    </row>
    <row r="221" spans="1:7" x14ac:dyDescent="0.25">
      <c r="A221" s="11">
        <v>197</v>
      </c>
      <c r="B221" s="5" t="s">
        <v>219</v>
      </c>
      <c r="C221" s="11">
        <v>53785632625</v>
      </c>
      <c r="D221" s="5" t="s">
        <v>220</v>
      </c>
      <c r="E221" s="8">
        <f>56+280.38+82.88+1679.45</f>
        <v>2098.71</v>
      </c>
      <c r="F221" s="5" t="s">
        <v>9</v>
      </c>
      <c r="G221" s="2" t="s">
        <v>20</v>
      </c>
    </row>
    <row r="222" spans="1:7" x14ac:dyDescent="0.25">
      <c r="A222" s="11">
        <v>198</v>
      </c>
      <c r="B222" s="5" t="s">
        <v>673</v>
      </c>
      <c r="C222" s="11">
        <v>48633701387</v>
      </c>
      <c r="D222" s="5" t="s">
        <v>674</v>
      </c>
      <c r="E222" s="8">
        <f>139.08</f>
        <v>139.08000000000001</v>
      </c>
      <c r="F222" s="5" t="s">
        <v>9</v>
      </c>
      <c r="G222" s="2" t="s">
        <v>20</v>
      </c>
    </row>
    <row r="223" spans="1:7" x14ac:dyDescent="0.25">
      <c r="A223" s="11">
        <v>199</v>
      </c>
      <c r="B223" s="5" t="s">
        <v>675</v>
      </c>
      <c r="C223" s="11" t="s">
        <v>676</v>
      </c>
      <c r="D223" s="5" t="s">
        <v>677</v>
      </c>
      <c r="E223" s="8">
        <v>4248</v>
      </c>
      <c r="F223" s="5" t="s">
        <v>9</v>
      </c>
      <c r="G223" s="2" t="s">
        <v>20</v>
      </c>
    </row>
    <row r="224" spans="1:7" x14ac:dyDescent="0.25">
      <c r="A224" s="11">
        <v>200</v>
      </c>
      <c r="B224" s="5" t="s">
        <v>221</v>
      </c>
      <c r="C224" s="11">
        <v>76147579166</v>
      </c>
      <c r="D224" s="5" t="s">
        <v>222</v>
      </c>
      <c r="E224" s="8">
        <f>62.5+643.43+27.31</f>
        <v>733.2399999999999</v>
      </c>
      <c r="F224" s="5" t="s">
        <v>9</v>
      </c>
      <c r="G224" s="2" t="s">
        <v>20</v>
      </c>
    </row>
    <row r="225" spans="1:7" x14ac:dyDescent="0.25">
      <c r="A225" s="11">
        <v>201</v>
      </c>
      <c r="B225" s="5" t="s">
        <v>223</v>
      </c>
      <c r="C225" s="11">
        <v>48841983787</v>
      </c>
      <c r="D225" s="5" t="s">
        <v>224</v>
      </c>
      <c r="E225" s="8">
        <f>2400+6377.25+4537.5+3068.75+3328.13</f>
        <v>19711.63</v>
      </c>
      <c r="F225" s="5" t="s">
        <v>9</v>
      </c>
      <c r="G225" s="2" t="s">
        <v>20</v>
      </c>
    </row>
    <row r="226" spans="1:7" x14ac:dyDescent="0.25">
      <c r="A226" s="11">
        <v>202</v>
      </c>
      <c r="B226" s="5" t="s">
        <v>678</v>
      </c>
      <c r="C226" s="11">
        <v>12443607100</v>
      </c>
      <c r="D226" s="5" t="s">
        <v>679</v>
      </c>
      <c r="E226" s="8">
        <f>900</f>
        <v>900</v>
      </c>
      <c r="F226" s="5" t="s">
        <v>9</v>
      </c>
      <c r="G226" s="2" t="s">
        <v>20</v>
      </c>
    </row>
    <row r="227" spans="1:7" x14ac:dyDescent="0.25">
      <c r="A227" s="11">
        <v>203</v>
      </c>
      <c r="B227" s="5" t="s">
        <v>234</v>
      </c>
      <c r="C227" s="11">
        <v>64008199572</v>
      </c>
      <c r="D227" s="5" t="s">
        <v>235</v>
      </c>
      <c r="E227" s="8">
        <f>443.88+443.88</f>
        <v>887.76</v>
      </c>
      <c r="F227" s="5" t="s">
        <v>9</v>
      </c>
      <c r="G227" s="2" t="s">
        <v>20</v>
      </c>
    </row>
    <row r="228" spans="1:7" x14ac:dyDescent="0.25">
      <c r="A228" s="11">
        <v>204</v>
      </c>
      <c r="B228" s="5" t="s">
        <v>236</v>
      </c>
      <c r="C228" s="11">
        <v>83157399243</v>
      </c>
      <c r="D228" s="5" t="s">
        <v>237</v>
      </c>
      <c r="E228" s="8">
        <f>31.25+587.5+162.5</f>
        <v>781.25</v>
      </c>
      <c r="F228" s="5" t="s">
        <v>9</v>
      </c>
      <c r="G228" s="2" t="s">
        <v>20</v>
      </c>
    </row>
    <row r="229" spans="1:7" x14ac:dyDescent="0.25">
      <c r="A229" s="11">
        <v>205</v>
      </c>
      <c r="B229" s="5" t="s">
        <v>21</v>
      </c>
      <c r="C229" s="11">
        <v>55622004611</v>
      </c>
      <c r="D229" s="5" t="s">
        <v>26</v>
      </c>
      <c r="E229" s="8">
        <f>22.5</f>
        <v>22.5</v>
      </c>
      <c r="F229" s="5" t="s">
        <v>9</v>
      </c>
      <c r="G229" s="2" t="s">
        <v>20</v>
      </c>
    </row>
    <row r="230" spans="1:7" x14ac:dyDescent="0.25">
      <c r="A230" s="11">
        <v>206</v>
      </c>
      <c r="B230" s="5" t="s">
        <v>680</v>
      </c>
      <c r="C230" s="11">
        <v>10235187780</v>
      </c>
      <c r="D230" s="5" t="s">
        <v>681</v>
      </c>
      <c r="E230" s="8">
        <v>324.77999999999997</v>
      </c>
      <c r="F230" s="5" t="s">
        <v>9</v>
      </c>
      <c r="G230" s="2" t="s">
        <v>682</v>
      </c>
    </row>
    <row r="231" spans="1:7" x14ac:dyDescent="0.25">
      <c r="A231" s="11">
        <v>207</v>
      </c>
      <c r="B231" s="5" t="s">
        <v>683</v>
      </c>
      <c r="C231" s="11">
        <v>38812451417</v>
      </c>
      <c r="D231" s="5" t="s">
        <v>684</v>
      </c>
      <c r="E231" s="8">
        <f>398.29</f>
        <v>398.29</v>
      </c>
      <c r="F231" s="5" t="s">
        <v>9</v>
      </c>
      <c r="G231" s="2" t="s">
        <v>70</v>
      </c>
    </row>
    <row r="232" spans="1:7" x14ac:dyDescent="0.25">
      <c r="A232" s="11">
        <v>208</v>
      </c>
      <c r="B232" s="5" t="s">
        <v>685</v>
      </c>
      <c r="C232" s="11">
        <v>26211106548</v>
      </c>
      <c r="D232" s="5" t="s">
        <v>686</v>
      </c>
      <c r="E232" s="8">
        <v>123.52</v>
      </c>
      <c r="F232" s="5" t="s">
        <v>9</v>
      </c>
      <c r="G232" s="2" t="s">
        <v>70</v>
      </c>
    </row>
    <row r="233" spans="1:7" x14ac:dyDescent="0.25">
      <c r="A233" s="11">
        <v>209</v>
      </c>
      <c r="B233" s="19" t="s">
        <v>687</v>
      </c>
      <c r="C233" s="35">
        <v>35798309099</v>
      </c>
      <c r="D233" s="19" t="s">
        <v>688</v>
      </c>
      <c r="E233" s="8">
        <f>170</f>
        <v>170</v>
      </c>
      <c r="F233" s="5" t="s">
        <v>9</v>
      </c>
      <c r="G233" s="2" t="s">
        <v>20</v>
      </c>
    </row>
    <row r="234" spans="1:7" x14ac:dyDescent="0.25">
      <c r="A234" s="11">
        <v>210</v>
      </c>
      <c r="B234" s="5" t="s">
        <v>339</v>
      </c>
      <c r="C234" s="11">
        <v>66402309304</v>
      </c>
      <c r="D234" s="5" t="s">
        <v>340</v>
      </c>
      <c r="E234" s="8">
        <f>2000+3000+632.53</f>
        <v>5632.53</v>
      </c>
      <c r="F234" s="5" t="s">
        <v>9</v>
      </c>
      <c r="G234" s="2" t="s">
        <v>20</v>
      </c>
    </row>
    <row r="235" spans="1:7" x14ac:dyDescent="0.25">
      <c r="A235" s="11">
        <v>211</v>
      </c>
      <c r="B235" s="5" t="s">
        <v>103</v>
      </c>
      <c r="C235" s="11">
        <v>80051835685</v>
      </c>
      <c r="D235" s="5" t="s">
        <v>126</v>
      </c>
      <c r="E235" s="8">
        <v>5748.58</v>
      </c>
      <c r="F235" s="5" t="s">
        <v>9</v>
      </c>
      <c r="G235" s="2" t="s">
        <v>20</v>
      </c>
    </row>
    <row r="236" spans="1:7" x14ac:dyDescent="0.25">
      <c r="A236" s="11">
        <v>212</v>
      </c>
      <c r="B236" s="5" t="s">
        <v>416</v>
      </c>
      <c r="C236" s="12" t="s">
        <v>385</v>
      </c>
      <c r="D236" s="5" t="s">
        <v>417</v>
      </c>
      <c r="E236" s="8">
        <f>78.06</f>
        <v>78.06</v>
      </c>
      <c r="F236" s="5" t="s">
        <v>9</v>
      </c>
      <c r="G236" s="2" t="s">
        <v>20</v>
      </c>
    </row>
    <row r="237" spans="1:7" x14ac:dyDescent="0.25">
      <c r="A237" s="11">
        <v>213</v>
      </c>
      <c r="B237" s="5" t="s">
        <v>689</v>
      </c>
      <c r="C237" s="11" t="s">
        <v>690</v>
      </c>
      <c r="D237" s="5" t="s">
        <v>691</v>
      </c>
      <c r="E237" s="8">
        <v>1414</v>
      </c>
      <c r="F237" s="5" t="s">
        <v>9</v>
      </c>
      <c r="G237" s="2" t="s">
        <v>20</v>
      </c>
    </row>
    <row r="238" spans="1:7" x14ac:dyDescent="0.25">
      <c r="A238" s="11">
        <v>214</v>
      </c>
      <c r="B238" s="5" t="s">
        <v>240</v>
      </c>
      <c r="C238" s="11">
        <v>54661026138</v>
      </c>
      <c r="D238" s="5" t="s">
        <v>241</v>
      </c>
      <c r="E238" s="8">
        <f>168.02+100.88</f>
        <v>268.89999999999998</v>
      </c>
      <c r="F238" s="5" t="s">
        <v>9</v>
      </c>
      <c r="G238" s="2" t="s">
        <v>20</v>
      </c>
    </row>
    <row r="239" spans="1:7" x14ac:dyDescent="0.25">
      <c r="A239" s="11">
        <v>215</v>
      </c>
      <c r="B239" s="5" t="s">
        <v>242</v>
      </c>
      <c r="C239" s="11">
        <v>69857578031</v>
      </c>
      <c r="D239" s="5" t="s">
        <v>244</v>
      </c>
      <c r="E239" s="8">
        <f>417.31+383.44+417.31</f>
        <v>1218.06</v>
      </c>
      <c r="F239" s="5" t="s">
        <v>9</v>
      </c>
      <c r="G239" s="2" t="s">
        <v>243</v>
      </c>
    </row>
    <row r="240" spans="1:7" x14ac:dyDescent="0.25">
      <c r="A240" s="11">
        <v>216</v>
      </c>
      <c r="B240" s="5" t="s">
        <v>692</v>
      </c>
      <c r="C240" s="11">
        <v>73294314024</v>
      </c>
      <c r="D240" s="5" t="s">
        <v>287</v>
      </c>
      <c r="E240" s="8">
        <f>927.23</f>
        <v>927.23</v>
      </c>
      <c r="F240" s="5" t="s">
        <v>9</v>
      </c>
      <c r="G240" s="2" t="s">
        <v>286</v>
      </c>
    </row>
    <row r="241" spans="1:7" x14ac:dyDescent="0.25">
      <c r="A241" s="11">
        <v>217</v>
      </c>
      <c r="B241" s="5" t="s">
        <v>251</v>
      </c>
      <c r="C241" s="11">
        <v>54482179263</v>
      </c>
      <c r="D241" s="5" t="s">
        <v>252</v>
      </c>
      <c r="E241" s="8">
        <f>1138.91</f>
        <v>1138.9100000000001</v>
      </c>
      <c r="F241" s="5" t="s">
        <v>9</v>
      </c>
      <c r="G241" s="2" t="s">
        <v>20</v>
      </c>
    </row>
    <row r="242" spans="1:7" x14ac:dyDescent="0.25">
      <c r="A242" s="11">
        <v>218</v>
      </c>
      <c r="B242" s="5" t="s">
        <v>253</v>
      </c>
      <c r="C242" s="11">
        <v>79506290597</v>
      </c>
      <c r="D242" s="5" t="s">
        <v>255</v>
      </c>
      <c r="E242" s="8">
        <v>93.75</v>
      </c>
      <c r="F242" s="5" t="s">
        <v>9</v>
      </c>
      <c r="G242" s="2" t="s">
        <v>254</v>
      </c>
    </row>
    <row r="243" spans="1:7" x14ac:dyDescent="0.25">
      <c r="A243" s="11">
        <v>219</v>
      </c>
      <c r="B243" s="5" t="s">
        <v>693</v>
      </c>
      <c r="C243" s="11">
        <v>84082732674</v>
      </c>
      <c r="D243" s="5" t="s">
        <v>694</v>
      </c>
      <c r="E243" s="8">
        <v>865.13</v>
      </c>
      <c r="F243" s="5" t="s">
        <v>9</v>
      </c>
      <c r="G243" s="2" t="s">
        <v>228</v>
      </c>
    </row>
    <row r="244" spans="1:7" x14ac:dyDescent="0.25">
      <c r="A244" s="11">
        <v>220</v>
      </c>
      <c r="B244" s="5" t="s">
        <v>285</v>
      </c>
      <c r="C244" s="11">
        <v>28370392421</v>
      </c>
      <c r="D244" s="5" t="s">
        <v>284</v>
      </c>
      <c r="E244" s="8">
        <v>403.84</v>
      </c>
      <c r="F244" s="5" t="s">
        <v>9</v>
      </c>
      <c r="G244" s="2" t="s">
        <v>286</v>
      </c>
    </row>
    <row r="245" spans="1:7" x14ac:dyDescent="0.25">
      <c r="A245" s="11">
        <v>221</v>
      </c>
      <c r="B245" s="36" t="s">
        <v>186</v>
      </c>
      <c r="C245" s="37">
        <v>66181750806</v>
      </c>
      <c r="D245" s="36" t="s">
        <v>136</v>
      </c>
      <c r="E245" s="8">
        <f>823.1+598+882.68</f>
        <v>2303.7799999999997</v>
      </c>
      <c r="F245" s="36" t="s">
        <v>9</v>
      </c>
      <c r="G245" s="2" t="s">
        <v>187</v>
      </c>
    </row>
    <row r="246" spans="1:7" x14ac:dyDescent="0.25">
      <c r="A246" s="11">
        <v>222</v>
      </c>
      <c r="B246" s="5" t="s">
        <v>330</v>
      </c>
      <c r="C246" s="11">
        <v>27712717103</v>
      </c>
      <c r="D246" s="5" t="s">
        <v>331</v>
      </c>
      <c r="E246" s="8">
        <f>5855.57*2</f>
        <v>11711.14</v>
      </c>
      <c r="F246" s="36" t="s">
        <v>9</v>
      </c>
      <c r="G246" s="2" t="s">
        <v>55</v>
      </c>
    </row>
    <row r="247" spans="1:7" x14ac:dyDescent="0.25">
      <c r="A247" s="11">
        <v>223</v>
      </c>
      <c r="B247" s="5" t="s">
        <v>361</v>
      </c>
      <c r="C247" s="11">
        <v>58421021869</v>
      </c>
      <c r="D247" s="5" t="s">
        <v>362</v>
      </c>
      <c r="E247" s="8">
        <f>5000+2000+3000+2891.7+5000+7101.5+3000</f>
        <v>27993.200000000001</v>
      </c>
      <c r="F247" s="5" t="s">
        <v>9</v>
      </c>
      <c r="G247" s="2" t="s">
        <v>20</v>
      </c>
    </row>
    <row r="248" spans="1:7" x14ac:dyDescent="0.25">
      <c r="A248" s="11">
        <v>224</v>
      </c>
      <c r="B248" s="5" t="s">
        <v>177</v>
      </c>
      <c r="C248" s="11">
        <v>22740118957</v>
      </c>
      <c r="D248" s="5" t="s">
        <v>178</v>
      </c>
      <c r="E248" s="8">
        <f>845.63+845.63+461.25+1845</f>
        <v>3997.51</v>
      </c>
      <c r="F248" s="5" t="s">
        <v>9</v>
      </c>
      <c r="G248" s="2" t="s">
        <v>20</v>
      </c>
    </row>
    <row r="249" spans="1:7" x14ac:dyDescent="0.25">
      <c r="A249" s="11">
        <v>225</v>
      </c>
      <c r="B249" s="5" t="s">
        <v>695</v>
      </c>
      <c r="C249" s="11">
        <v>76454212077</v>
      </c>
      <c r="D249" s="5" t="s">
        <v>696</v>
      </c>
      <c r="E249" s="8">
        <v>3035</v>
      </c>
      <c r="F249" s="5" t="s">
        <v>9</v>
      </c>
      <c r="G249" s="2" t="s">
        <v>147</v>
      </c>
    </row>
    <row r="250" spans="1:7" x14ac:dyDescent="0.25">
      <c r="A250" s="11">
        <v>226</v>
      </c>
      <c r="B250" s="5" t="s">
        <v>697</v>
      </c>
      <c r="C250" s="11">
        <v>14273924910</v>
      </c>
      <c r="D250" s="5" t="s">
        <v>698</v>
      </c>
      <c r="E250" s="8">
        <v>483.75</v>
      </c>
      <c r="F250" s="5" t="s">
        <v>9</v>
      </c>
      <c r="G250" s="2" t="s">
        <v>96</v>
      </c>
    </row>
    <row r="251" spans="1:7" x14ac:dyDescent="0.25">
      <c r="A251" s="11">
        <v>227</v>
      </c>
      <c r="B251" s="5" t="s">
        <v>148</v>
      </c>
      <c r="C251" s="11">
        <v>40779258479</v>
      </c>
      <c r="D251" s="5" t="s">
        <v>149</v>
      </c>
      <c r="E251" s="8">
        <f>14665.34+358.03+100681.8+57221.68+358.03</f>
        <v>173284.88</v>
      </c>
      <c r="F251" s="5" t="s">
        <v>9</v>
      </c>
      <c r="G251" s="2" t="s">
        <v>20</v>
      </c>
    </row>
    <row r="252" spans="1:7" x14ac:dyDescent="0.25">
      <c r="A252" s="11">
        <v>228</v>
      </c>
      <c r="B252" s="5" t="s">
        <v>346</v>
      </c>
      <c r="C252" s="12" t="s">
        <v>383</v>
      </c>
      <c r="D252" s="5" t="s">
        <v>384</v>
      </c>
      <c r="E252" s="8">
        <f>2000+3000</f>
        <v>5000</v>
      </c>
      <c r="F252" s="5" t="s">
        <v>9</v>
      </c>
      <c r="G252" s="2" t="s">
        <v>20</v>
      </c>
    </row>
    <row r="253" spans="1:7" x14ac:dyDescent="0.25">
      <c r="A253" s="11">
        <v>229</v>
      </c>
      <c r="B253" s="5" t="s">
        <v>699</v>
      </c>
      <c r="C253" s="11">
        <v>82298562620</v>
      </c>
      <c r="D253" s="5" t="s">
        <v>700</v>
      </c>
      <c r="E253" s="8">
        <f>1077.29</f>
        <v>1077.29</v>
      </c>
      <c r="F253" s="5" t="s">
        <v>9</v>
      </c>
      <c r="G253" s="2" t="s">
        <v>20</v>
      </c>
    </row>
    <row r="254" spans="1:7" x14ac:dyDescent="0.25">
      <c r="A254" s="11">
        <v>230</v>
      </c>
      <c r="B254" s="5" t="s">
        <v>701</v>
      </c>
      <c r="C254" s="11">
        <v>18545665005</v>
      </c>
      <c r="D254" s="5" t="s">
        <v>258</v>
      </c>
      <c r="E254" s="8">
        <f>510+6900+525</f>
        <v>7935</v>
      </c>
      <c r="F254" s="5" t="s">
        <v>9</v>
      </c>
      <c r="G254" s="2" t="s">
        <v>20</v>
      </c>
    </row>
    <row r="255" spans="1:7" x14ac:dyDescent="0.25">
      <c r="A255" s="11">
        <v>231</v>
      </c>
      <c r="B255" s="5" t="s">
        <v>702</v>
      </c>
      <c r="C255" s="11">
        <v>68001619680</v>
      </c>
      <c r="D255" s="5" t="s">
        <v>703</v>
      </c>
      <c r="E255" s="8">
        <f>42.5</f>
        <v>42.5</v>
      </c>
      <c r="F255" s="5" t="s">
        <v>9</v>
      </c>
      <c r="G255" s="2" t="s">
        <v>20</v>
      </c>
    </row>
    <row r="256" spans="1:7" x14ac:dyDescent="0.25">
      <c r="A256" s="11">
        <v>232</v>
      </c>
      <c r="B256" s="5" t="s">
        <v>704</v>
      </c>
      <c r="C256" s="11" t="s">
        <v>705</v>
      </c>
      <c r="D256" s="5" t="s">
        <v>706</v>
      </c>
      <c r="E256" s="8">
        <v>2405</v>
      </c>
      <c r="F256" s="5" t="s">
        <v>9</v>
      </c>
      <c r="G256" s="2" t="s">
        <v>20</v>
      </c>
    </row>
    <row r="257" spans="1:7" x14ac:dyDescent="0.25">
      <c r="A257" s="11">
        <v>233</v>
      </c>
      <c r="B257" s="5" t="s">
        <v>707</v>
      </c>
      <c r="C257" s="11">
        <v>80523849112</v>
      </c>
      <c r="D257" s="5" t="s">
        <v>708</v>
      </c>
      <c r="E257" s="8">
        <f>468.88+21.15</f>
        <v>490.03</v>
      </c>
      <c r="F257" s="5" t="s">
        <v>9</v>
      </c>
      <c r="G257" s="2" t="s">
        <v>20</v>
      </c>
    </row>
    <row r="258" spans="1:7" x14ac:dyDescent="0.25">
      <c r="A258" s="11">
        <v>234</v>
      </c>
      <c r="B258" s="5" t="s">
        <v>709</v>
      </c>
      <c r="C258" s="12">
        <v>15140147538</v>
      </c>
      <c r="D258" s="5" t="s">
        <v>710</v>
      </c>
      <c r="E258" s="8">
        <f>1571.2+1640+4621.88</f>
        <v>7833.08</v>
      </c>
      <c r="F258" s="5" t="s">
        <v>9</v>
      </c>
      <c r="G258" s="2" t="s">
        <v>20</v>
      </c>
    </row>
    <row r="259" spans="1:7" x14ac:dyDescent="0.25">
      <c r="A259" s="11">
        <v>235</v>
      </c>
      <c r="B259" s="5" t="s">
        <v>270</v>
      </c>
      <c r="C259" s="11">
        <v>56862872842</v>
      </c>
      <c r="D259" s="5" t="s">
        <v>277</v>
      </c>
      <c r="E259" s="8">
        <f>1175</f>
        <v>1175</v>
      </c>
      <c r="F259" s="5" t="s">
        <v>9</v>
      </c>
      <c r="G259" s="2" t="s">
        <v>20</v>
      </c>
    </row>
    <row r="260" spans="1:7" x14ac:dyDescent="0.25">
      <c r="A260" s="11">
        <v>236</v>
      </c>
      <c r="B260" s="5" t="s">
        <v>271</v>
      </c>
      <c r="C260" s="11">
        <v>64691033428</v>
      </c>
      <c r="D260" s="5" t="s">
        <v>278</v>
      </c>
      <c r="E260" s="8">
        <v>2641.44</v>
      </c>
      <c r="F260" s="5" t="s">
        <v>9</v>
      </c>
      <c r="G260" s="2" t="s">
        <v>20</v>
      </c>
    </row>
    <row r="261" spans="1:7" x14ac:dyDescent="0.25">
      <c r="A261" s="11">
        <v>237</v>
      </c>
      <c r="B261" s="5" t="s">
        <v>272</v>
      </c>
      <c r="C261" s="11">
        <v>54527841697</v>
      </c>
      <c r="D261" s="5" t="s">
        <v>279</v>
      </c>
      <c r="E261" s="8">
        <f>975+1995+756.25+2925</f>
        <v>6651.25</v>
      </c>
      <c r="F261" s="5" t="s">
        <v>9</v>
      </c>
      <c r="G261" s="2" t="s">
        <v>20</v>
      </c>
    </row>
    <row r="262" spans="1:7" x14ac:dyDescent="0.25">
      <c r="A262" s="11">
        <v>238</v>
      </c>
      <c r="B262" s="5" t="s">
        <v>711</v>
      </c>
      <c r="C262" s="12">
        <v>83910501982</v>
      </c>
      <c r="D262" s="5" t="s">
        <v>712</v>
      </c>
      <c r="E262" s="8">
        <v>44.74</v>
      </c>
      <c r="F262" s="5" t="s">
        <v>9</v>
      </c>
      <c r="G262" s="2" t="s">
        <v>20</v>
      </c>
    </row>
    <row r="263" spans="1:7" x14ac:dyDescent="0.25">
      <c r="A263" s="11">
        <v>239</v>
      </c>
      <c r="B263" s="5" t="s">
        <v>301</v>
      </c>
      <c r="C263" s="11">
        <v>85821130368</v>
      </c>
      <c r="D263" s="5" t="s">
        <v>302</v>
      </c>
      <c r="E263" s="8">
        <f>16.6</f>
        <v>16.600000000000001</v>
      </c>
      <c r="F263" s="5" t="s">
        <v>9</v>
      </c>
      <c r="G263" s="2" t="s">
        <v>96</v>
      </c>
    </row>
    <row r="264" spans="1:7" x14ac:dyDescent="0.25">
      <c r="A264" s="11">
        <v>240</v>
      </c>
      <c r="B264" s="5" t="s">
        <v>273</v>
      </c>
      <c r="C264" s="11">
        <v>100299833</v>
      </c>
      <c r="D264" s="5" t="s">
        <v>280</v>
      </c>
      <c r="E264" s="8">
        <f>14196</f>
        <v>14196</v>
      </c>
      <c r="F264" s="5" t="s">
        <v>9</v>
      </c>
      <c r="G264" s="2" t="s">
        <v>20</v>
      </c>
    </row>
    <row r="265" spans="1:7" ht="4.5" customHeight="1" x14ac:dyDescent="0.25">
      <c r="A265" s="11"/>
      <c r="B265" s="5"/>
      <c r="C265" s="11"/>
      <c r="D265" s="5"/>
      <c r="E265" s="8"/>
      <c r="F265" s="5"/>
      <c r="G265" s="2"/>
    </row>
    <row r="266" spans="1:7" x14ac:dyDescent="0.25">
      <c r="A266" s="10"/>
      <c r="B266" s="1"/>
      <c r="C266" s="10"/>
      <c r="D266" s="51"/>
      <c r="E266" s="52"/>
      <c r="F266" s="1"/>
      <c r="G266" s="1"/>
    </row>
    <row r="267" spans="1:7" x14ac:dyDescent="0.25">
      <c r="A267" s="10"/>
      <c r="B267" s="1"/>
      <c r="C267" s="10"/>
      <c r="D267" s="39" t="s">
        <v>713</v>
      </c>
      <c r="E267" s="38">
        <f>SUM(E11:E265)</f>
        <v>4663218.5400000019</v>
      </c>
      <c r="F267" s="1"/>
      <c r="G267" s="1"/>
    </row>
  </sheetData>
  <sheetProtection algorithmName="SHA-512" hashValue="EyV95okKL1P4hSTuRBKAkH5P4elRv9g9Zi/AHQN+bqlWTyqnJkE6rGOBhrhNH37pyqfsunsxt1L0+F/XcKu3eQ==" saltValue="G9DxbrimSvge/91lCfJnNA==" spinCount="100000" sheet="1" objects="1" scenarios="1" selectLockedCells="1" autoFilter="0" selectUnlockedCells="1"/>
  <autoFilter ref="A10:G264" xr:uid="{06D96319-1B0B-4E36-BF32-D58D80527425}"/>
  <mergeCells count="53">
    <mergeCell ref="A6:B6"/>
    <mergeCell ref="A7:B7"/>
    <mergeCell ref="C8:F8"/>
    <mergeCell ref="A30:A32"/>
    <mergeCell ref="B30:B32"/>
    <mergeCell ref="C30:C32"/>
    <mergeCell ref="D30:D32"/>
    <mergeCell ref="F30:F32"/>
    <mergeCell ref="A41:A42"/>
    <mergeCell ref="B41:B42"/>
    <mergeCell ref="C41:C42"/>
    <mergeCell ref="D41:D42"/>
    <mergeCell ref="F41:F42"/>
    <mergeCell ref="A35:A39"/>
    <mergeCell ref="B35:B39"/>
    <mergeCell ref="C35:C39"/>
    <mergeCell ref="D35:D39"/>
    <mergeCell ref="F35:F39"/>
    <mergeCell ref="A55:A56"/>
    <mergeCell ref="B55:B56"/>
    <mergeCell ref="C55:C56"/>
    <mergeCell ref="D55:D56"/>
    <mergeCell ref="F55:F56"/>
    <mergeCell ref="A43:A44"/>
    <mergeCell ref="B43:B44"/>
    <mergeCell ref="C43:C44"/>
    <mergeCell ref="D43:D44"/>
    <mergeCell ref="F43:F44"/>
    <mergeCell ref="A154:A155"/>
    <mergeCell ref="B154:B155"/>
    <mergeCell ref="C154:C155"/>
    <mergeCell ref="D154:D155"/>
    <mergeCell ref="F154:F155"/>
    <mergeCell ref="A58:A59"/>
    <mergeCell ref="B58:B59"/>
    <mergeCell ref="C58:C59"/>
    <mergeCell ref="D58:D59"/>
    <mergeCell ref="F58:F59"/>
    <mergeCell ref="A175:A176"/>
    <mergeCell ref="B175:B176"/>
    <mergeCell ref="C175:C176"/>
    <mergeCell ref="D175:D176"/>
    <mergeCell ref="F175:F176"/>
    <mergeCell ref="A169:A170"/>
    <mergeCell ref="B169:B170"/>
    <mergeCell ref="C169:C170"/>
    <mergeCell ref="D169:D170"/>
    <mergeCell ref="F169:F170"/>
    <mergeCell ref="A191:A192"/>
    <mergeCell ref="B191:B192"/>
    <mergeCell ref="C191:C192"/>
    <mergeCell ref="D191:D192"/>
    <mergeCell ref="F191:F19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3A3F-278D-4F71-B9A2-9DA7B07C8531}">
  <dimension ref="A1:G263"/>
  <sheetViews>
    <sheetView topLeftCell="A250" workbookViewId="0">
      <selection activeCell="D267" sqref="D267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7" t="s">
        <v>7</v>
      </c>
      <c r="B6" s="77"/>
      <c r="C6" s="10"/>
      <c r="D6" s="1"/>
      <c r="E6" s="13"/>
      <c r="F6" s="1"/>
      <c r="G6" s="1"/>
    </row>
    <row r="7" spans="1:7" x14ac:dyDescent="0.25">
      <c r="A7" s="77" t="s">
        <v>8</v>
      </c>
      <c r="B7" s="77"/>
      <c r="C7" s="10"/>
      <c r="D7" s="1"/>
      <c r="E7" s="13"/>
      <c r="F7" s="1"/>
      <c r="G7" s="1"/>
    </row>
    <row r="8" spans="1:7" x14ac:dyDescent="0.25">
      <c r="A8" s="23"/>
      <c r="B8" s="6"/>
      <c r="C8" s="78" t="s">
        <v>714</v>
      </c>
      <c r="D8" s="78"/>
      <c r="E8" s="78"/>
      <c r="F8" s="78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332</v>
      </c>
      <c r="C12" s="11">
        <v>57270798205</v>
      </c>
      <c r="D12" s="5" t="s">
        <v>333</v>
      </c>
      <c r="E12" s="8">
        <f>498.56+995.5+995.5</f>
        <v>2489.56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24.46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</f>
        <v>1200</v>
      </c>
      <c r="F14" s="5" t="s">
        <v>9</v>
      </c>
      <c r="G14" s="2" t="s">
        <v>468</v>
      </c>
    </row>
    <row r="15" spans="1:7" x14ac:dyDescent="0.25">
      <c r="A15" s="11">
        <v>5</v>
      </c>
      <c r="B15" s="5" t="s">
        <v>16</v>
      </c>
      <c r="C15" s="12" t="s">
        <v>25</v>
      </c>
      <c r="D15" s="9" t="s">
        <v>412</v>
      </c>
      <c r="E15" s="8">
        <v>8865</v>
      </c>
      <c r="F15" s="5" t="s">
        <v>9</v>
      </c>
      <c r="G15" s="2" t="s">
        <v>17</v>
      </c>
    </row>
    <row r="16" spans="1:7" x14ac:dyDescent="0.25">
      <c r="A16" s="11">
        <v>6</v>
      </c>
      <c r="B16" s="5" t="s">
        <v>19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290</v>
      </c>
      <c r="C17" s="11">
        <v>31826907316</v>
      </c>
      <c r="D17" s="5" t="s">
        <v>291</v>
      </c>
      <c r="E17" s="8">
        <f>15000+2000+5000+10000+3000+344.4</f>
        <v>35344.400000000001</v>
      </c>
      <c r="F17" s="5" t="s">
        <v>9</v>
      </c>
      <c r="G17" s="2" t="s">
        <v>20</v>
      </c>
    </row>
    <row r="18" spans="1:7" x14ac:dyDescent="0.25">
      <c r="A18" s="11">
        <v>8</v>
      </c>
      <c r="B18" s="5" t="s">
        <v>715</v>
      </c>
      <c r="C18" s="11">
        <v>51792060033</v>
      </c>
      <c r="D18" s="5" t="s">
        <v>716</v>
      </c>
      <c r="E18" s="8">
        <v>79.650000000000006</v>
      </c>
      <c r="F18" s="5" t="s">
        <v>9</v>
      </c>
      <c r="G18" s="2" t="s">
        <v>20</v>
      </c>
    </row>
    <row r="19" spans="1:7" x14ac:dyDescent="0.25">
      <c r="A19" s="11">
        <v>9</v>
      </c>
      <c r="B19" s="5" t="s">
        <v>556</v>
      </c>
      <c r="C19" s="11" t="s">
        <v>557</v>
      </c>
      <c r="D19" s="5" t="s">
        <v>558</v>
      </c>
      <c r="E19" s="8">
        <v>2982.6</v>
      </c>
      <c r="F19" s="5" t="s">
        <v>9</v>
      </c>
      <c r="G19" s="2" t="s">
        <v>20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v>1335657.97</v>
      </c>
      <c r="F20" s="5" t="s">
        <v>9</v>
      </c>
      <c r="G20" s="2" t="s">
        <v>27</v>
      </c>
    </row>
    <row r="21" spans="1:7" x14ac:dyDescent="0.25">
      <c r="A21" s="11">
        <v>11</v>
      </c>
      <c r="B21" s="19" t="s">
        <v>579</v>
      </c>
      <c r="C21" s="30">
        <v>57636759173</v>
      </c>
      <c r="D21" s="19" t="s">
        <v>580</v>
      </c>
      <c r="E21" s="8">
        <v>18.25</v>
      </c>
      <c r="F21" s="5" t="s">
        <v>9</v>
      </c>
      <c r="G21" s="2" t="s">
        <v>147</v>
      </c>
    </row>
    <row r="22" spans="1:7" x14ac:dyDescent="0.25">
      <c r="A22" s="11">
        <v>12</v>
      </c>
      <c r="B22" s="5" t="s">
        <v>29</v>
      </c>
      <c r="C22" s="12" t="s">
        <v>32</v>
      </c>
      <c r="D22" s="5" t="s">
        <v>31</v>
      </c>
      <c r="E22" s="8">
        <v>1440.24</v>
      </c>
      <c r="F22" s="5" t="s">
        <v>9</v>
      </c>
      <c r="G22" s="2" t="s">
        <v>14</v>
      </c>
    </row>
    <row r="23" spans="1:7" x14ac:dyDescent="0.25">
      <c r="A23" s="11">
        <v>13</v>
      </c>
      <c r="B23" s="5" t="s">
        <v>33</v>
      </c>
      <c r="C23" s="11">
        <v>57500462912</v>
      </c>
      <c r="D23" s="5" t="s">
        <v>35</v>
      </c>
      <c r="E23" s="8">
        <f>300+300</f>
        <v>600</v>
      </c>
      <c r="F23" s="5" t="s">
        <v>9</v>
      </c>
      <c r="G23" s="2" t="s">
        <v>34</v>
      </c>
    </row>
    <row r="24" spans="1:7" x14ac:dyDescent="0.25">
      <c r="A24" s="11">
        <v>14</v>
      </c>
      <c r="B24" s="5" t="s">
        <v>236</v>
      </c>
      <c r="C24" s="11">
        <v>83157399243</v>
      </c>
      <c r="D24" s="5" t="s">
        <v>237</v>
      </c>
      <c r="E24" s="8">
        <f>318.75+75+181.25+120</f>
        <v>695</v>
      </c>
      <c r="F24" s="5" t="s">
        <v>9</v>
      </c>
      <c r="G24" s="2" t="s">
        <v>20</v>
      </c>
    </row>
    <row r="25" spans="1:7" x14ac:dyDescent="0.25">
      <c r="A25" s="11">
        <v>15</v>
      </c>
      <c r="B25" s="40" t="s">
        <v>281</v>
      </c>
      <c r="C25" s="41">
        <v>66253945791</v>
      </c>
      <c r="D25" s="53" t="s">
        <v>46</v>
      </c>
      <c r="E25" s="17">
        <f>113449.62+100000+202328.95+30792.14</f>
        <v>446570.71</v>
      </c>
      <c r="F25" s="40" t="s">
        <v>9</v>
      </c>
      <c r="G25" s="29" t="s">
        <v>37</v>
      </c>
    </row>
    <row r="26" spans="1:7" x14ac:dyDescent="0.25">
      <c r="A26" s="11">
        <v>16</v>
      </c>
      <c r="B26" s="5" t="s">
        <v>505</v>
      </c>
      <c r="C26" s="11">
        <v>25712329343</v>
      </c>
      <c r="D26" s="5" t="s">
        <v>506</v>
      </c>
      <c r="E26" s="17">
        <f>156.25+151+35.33</f>
        <v>342.58</v>
      </c>
      <c r="F26" s="5" t="s">
        <v>9</v>
      </c>
      <c r="G26" s="2" t="s">
        <v>20</v>
      </c>
    </row>
    <row r="27" spans="1:7" ht="15.75" thickBot="1" x14ac:dyDescent="0.3">
      <c r="A27" s="11">
        <v>17</v>
      </c>
      <c r="B27" s="19" t="s">
        <v>38</v>
      </c>
      <c r="C27" s="30">
        <v>63073332379</v>
      </c>
      <c r="D27" s="19" t="s">
        <v>48</v>
      </c>
      <c r="E27" s="15">
        <v>6889.66</v>
      </c>
      <c r="F27" s="19" t="s">
        <v>9</v>
      </c>
      <c r="G27" s="25" t="s">
        <v>40</v>
      </c>
    </row>
    <row r="28" spans="1:7" x14ac:dyDescent="0.25">
      <c r="A28" s="65">
        <v>18</v>
      </c>
      <c r="B28" s="67" t="s">
        <v>39</v>
      </c>
      <c r="C28" s="65">
        <v>39901919995</v>
      </c>
      <c r="D28" s="67" t="s">
        <v>47</v>
      </c>
      <c r="E28" s="16">
        <f>15274.4+41.48+3114.29</f>
        <v>18430.169999999998</v>
      </c>
      <c r="F28" s="67" t="s">
        <v>9</v>
      </c>
      <c r="G28" s="26" t="s">
        <v>40</v>
      </c>
    </row>
    <row r="29" spans="1:7" x14ac:dyDescent="0.25">
      <c r="A29" s="75"/>
      <c r="B29" s="76"/>
      <c r="C29" s="75"/>
      <c r="D29" s="76"/>
      <c r="E29" s="17">
        <f>658.7</f>
        <v>658.7</v>
      </c>
      <c r="F29" s="76"/>
      <c r="G29" s="29" t="s">
        <v>20</v>
      </c>
    </row>
    <row r="30" spans="1:7" x14ac:dyDescent="0.25">
      <c r="A30" s="75"/>
      <c r="B30" s="76"/>
      <c r="C30" s="75"/>
      <c r="D30" s="76"/>
      <c r="E30" s="17">
        <f>1924.59+3595.99+3017.73</f>
        <v>8538.31</v>
      </c>
      <c r="F30" s="76"/>
      <c r="G30" s="29" t="s">
        <v>140</v>
      </c>
    </row>
    <row r="31" spans="1:7" x14ac:dyDescent="0.25">
      <c r="A31" s="75"/>
      <c r="B31" s="76"/>
      <c r="C31" s="75"/>
      <c r="D31" s="76"/>
      <c r="E31" s="17">
        <f>9201.96+18689.79</f>
        <v>27891.75</v>
      </c>
      <c r="F31" s="76"/>
      <c r="G31" s="29" t="s">
        <v>43</v>
      </c>
    </row>
    <row r="32" spans="1:7" ht="15.75" thickBot="1" x14ac:dyDescent="0.3">
      <c r="A32" s="75"/>
      <c r="B32" s="76"/>
      <c r="C32" s="75"/>
      <c r="D32" s="76"/>
      <c r="E32" s="8">
        <f>32943.44+1470.78+30390.5+40219.66</f>
        <v>105024.38</v>
      </c>
      <c r="F32" s="76"/>
      <c r="G32" s="2" t="s">
        <v>42</v>
      </c>
    </row>
    <row r="33" spans="1:7" x14ac:dyDescent="0.25">
      <c r="A33" s="56">
        <v>19</v>
      </c>
      <c r="B33" s="57" t="s">
        <v>44</v>
      </c>
      <c r="C33" s="56">
        <v>93039509752</v>
      </c>
      <c r="D33" s="57" t="s">
        <v>49</v>
      </c>
      <c r="E33" s="58">
        <f>524.25+843+574.25+1035.24+524.25</f>
        <v>3500.99</v>
      </c>
      <c r="F33" s="57" t="s">
        <v>9</v>
      </c>
      <c r="G33" s="59" t="s">
        <v>45</v>
      </c>
    </row>
    <row r="34" spans="1:7" ht="15.75" thickBot="1" x14ac:dyDescent="0.3">
      <c r="A34" s="55">
        <v>20</v>
      </c>
      <c r="B34" s="42" t="s">
        <v>50</v>
      </c>
      <c r="C34" s="55">
        <v>11471889269</v>
      </c>
      <c r="D34" s="42" t="s">
        <v>51</v>
      </c>
      <c r="E34" s="18">
        <v>7205.79</v>
      </c>
      <c r="F34" s="42" t="s">
        <v>9</v>
      </c>
      <c r="G34" s="27" t="s">
        <v>37</v>
      </c>
    </row>
    <row r="35" spans="1:7" x14ac:dyDescent="0.25">
      <c r="A35" s="65">
        <v>21</v>
      </c>
      <c r="B35" s="67" t="s">
        <v>52</v>
      </c>
      <c r="C35" s="65">
        <v>27759560625</v>
      </c>
      <c r="D35" s="67" t="s">
        <v>54</v>
      </c>
      <c r="E35" s="16">
        <v>5549.81</v>
      </c>
      <c r="F35" s="67" t="s">
        <v>9</v>
      </c>
      <c r="G35" s="26" t="s">
        <v>53</v>
      </c>
    </row>
    <row r="36" spans="1:7" ht="15.75" thickBot="1" x14ac:dyDescent="0.3">
      <c r="A36" s="75"/>
      <c r="B36" s="76"/>
      <c r="C36" s="75"/>
      <c r="D36" s="76"/>
      <c r="E36" s="15">
        <f>801.68</f>
        <v>801.68</v>
      </c>
      <c r="F36" s="76"/>
      <c r="G36" s="25" t="s">
        <v>20</v>
      </c>
    </row>
    <row r="37" spans="1:7" x14ac:dyDescent="0.25">
      <c r="A37" s="43">
        <v>22</v>
      </c>
      <c r="B37" s="44" t="s">
        <v>795</v>
      </c>
      <c r="C37" s="43" t="s">
        <v>796</v>
      </c>
      <c r="D37" s="44" t="s">
        <v>797</v>
      </c>
      <c r="E37" s="16">
        <v>714</v>
      </c>
      <c r="F37" s="44" t="s">
        <v>9</v>
      </c>
      <c r="G37" s="26" t="s">
        <v>20</v>
      </c>
    </row>
    <row r="38" spans="1:7" x14ac:dyDescent="0.25">
      <c r="A38" s="11">
        <v>23</v>
      </c>
      <c r="B38" s="5" t="s">
        <v>267</v>
      </c>
      <c r="C38" s="11">
        <v>22911773746</v>
      </c>
      <c r="D38" s="5" t="s">
        <v>268</v>
      </c>
      <c r="E38" s="8">
        <f>3278.6+2364.38</f>
        <v>5642.98</v>
      </c>
      <c r="F38" s="5" t="s">
        <v>9</v>
      </c>
      <c r="G38" s="2" t="s">
        <v>20</v>
      </c>
    </row>
    <row r="39" spans="1:7" x14ac:dyDescent="0.25">
      <c r="A39" s="11">
        <v>24</v>
      </c>
      <c r="B39" s="5" t="s">
        <v>56</v>
      </c>
      <c r="C39" s="11">
        <v>42889250808</v>
      </c>
      <c r="D39" s="5" t="s">
        <v>57</v>
      </c>
      <c r="E39" s="8">
        <v>62.9</v>
      </c>
      <c r="F39" s="5" t="s">
        <v>9</v>
      </c>
      <c r="G39" s="2" t="s">
        <v>55</v>
      </c>
    </row>
    <row r="40" spans="1:7" x14ac:dyDescent="0.25">
      <c r="A40" s="11">
        <v>25</v>
      </c>
      <c r="B40" s="5" t="s">
        <v>798</v>
      </c>
      <c r="C40" s="12" t="s">
        <v>799</v>
      </c>
      <c r="D40" s="5" t="s">
        <v>800</v>
      </c>
      <c r="E40" s="8">
        <v>2325</v>
      </c>
      <c r="F40" s="5" t="s">
        <v>9</v>
      </c>
      <c r="G40" s="2" t="s">
        <v>20</v>
      </c>
    </row>
    <row r="41" spans="1:7" x14ac:dyDescent="0.25">
      <c r="A41" s="11">
        <v>26</v>
      </c>
      <c r="B41" s="5" t="s">
        <v>15</v>
      </c>
      <c r="C41" s="11" t="s">
        <v>15</v>
      </c>
      <c r="D41" s="5" t="s">
        <v>15</v>
      </c>
      <c r="E41" s="8">
        <f>185.64+129.8+34.93+394.21</f>
        <v>744.57999999999993</v>
      </c>
      <c r="F41" s="5" t="s">
        <v>9</v>
      </c>
      <c r="G41" s="2" t="s">
        <v>717</v>
      </c>
    </row>
    <row r="42" spans="1:7" x14ac:dyDescent="0.25">
      <c r="A42" s="11">
        <v>27</v>
      </c>
      <c r="B42" s="5" t="s">
        <v>59</v>
      </c>
      <c r="C42" s="11" t="s">
        <v>15</v>
      </c>
      <c r="D42" s="5" t="s">
        <v>15</v>
      </c>
      <c r="E42" s="8">
        <v>310.24</v>
      </c>
      <c r="F42" s="5" t="s">
        <v>9</v>
      </c>
      <c r="G42" s="2" t="s">
        <v>58</v>
      </c>
    </row>
    <row r="43" spans="1:7" x14ac:dyDescent="0.25">
      <c r="A43" s="11">
        <v>28</v>
      </c>
      <c r="B43" s="5" t="s">
        <v>15</v>
      </c>
      <c r="C43" s="11" t="s">
        <v>15</v>
      </c>
      <c r="D43" s="5" t="s">
        <v>15</v>
      </c>
      <c r="E43" s="8">
        <v>8280</v>
      </c>
      <c r="F43" s="5" t="s">
        <v>9</v>
      </c>
      <c r="G43" s="2" t="s">
        <v>60</v>
      </c>
    </row>
    <row r="44" spans="1:7" x14ac:dyDescent="0.25">
      <c r="A44" s="11">
        <v>29</v>
      </c>
      <c r="B44" s="5" t="s">
        <v>299</v>
      </c>
      <c r="C44" s="11">
        <v>33813961569</v>
      </c>
      <c r="D44" s="5" t="s">
        <v>300</v>
      </c>
      <c r="E44" s="8">
        <f>48.84+506.59</f>
        <v>555.42999999999995</v>
      </c>
      <c r="F44" s="5" t="s">
        <v>9</v>
      </c>
      <c r="G44" s="2" t="s">
        <v>70</v>
      </c>
    </row>
    <row r="45" spans="1:7" x14ac:dyDescent="0.25">
      <c r="A45" s="11">
        <v>30</v>
      </c>
      <c r="B45" s="5" t="s">
        <v>15</v>
      </c>
      <c r="C45" s="11" t="s">
        <v>15</v>
      </c>
      <c r="D45" s="5" t="s">
        <v>15</v>
      </c>
      <c r="E45" s="8">
        <v>50</v>
      </c>
      <c r="F45" s="5" t="s">
        <v>9</v>
      </c>
      <c r="G45" s="2" t="s">
        <v>66</v>
      </c>
    </row>
    <row r="46" spans="1:7" x14ac:dyDescent="0.25">
      <c r="A46" s="11">
        <v>31</v>
      </c>
      <c r="B46" s="5" t="s">
        <v>67</v>
      </c>
      <c r="C46" s="11">
        <v>32179081874</v>
      </c>
      <c r="D46" s="5" t="s">
        <v>68</v>
      </c>
      <c r="E46" s="15">
        <f>81.25</f>
        <v>81.25</v>
      </c>
      <c r="F46" s="19" t="s">
        <v>9</v>
      </c>
      <c r="G46" s="25" t="s">
        <v>490</v>
      </c>
    </row>
    <row r="47" spans="1:7" x14ac:dyDescent="0.25">
      <c r="A47" s="11">
        <v>32</v>
      </c>
      <c r="B47" s="21" t="s">
        <v>71</v>
      </c>
      <c r="C47" s="22">
        <v>76173743169</v>
      </c>
      <c r="D47" s="21" t="s">
        <v>69</v>
      </c>
      <c r="E47" s="8">
        <v>846.85</v>
      </c>
      <c r="F47" s="21" t="s">
        <v>9</v>
      </c>
      <c r="G47" s="2" t="s">
        <v>490</v>
      </c>
    </row>
    <row r="48" spans="1:7" ht="15.75" thickBot="1" x14ac:dyDescent="0.3">
      <c r="A48" s="11">
        <v>33</v>
      </c>
      <c r="B48" s="19" t="s">
        <v>491</v>
      </c>
      <c r="C48" s="35" t="s">
        <v>492</v>
      </c>
      <c r="D48" s="19" t="s">
        <v>493</v>
      </c>
      <c r="E48" s="15">
        <v>1161.6500000000001</v>
      </c>
      <c r="F48" s="19" t="s">
        <v>9</v>
      </c>
      <c r="G48" s="25" t="s">
        <v>494</v>
      </c>
    </row>
    <row r="49" spans="1:7" x14ac:dyDescent="0.25">
      <c r="A49" s="65">
        <v>34</v>
      </c>
      <c r="B49" s="67" t="s">
        <v>73</v>
      </c>
      <c r="C49" s="65">
        <v>34976993601</v>
      </c>
      <c r="D49" s="67" t="s">
        <v>74</v>
      </c>
      <c r="E49" s="16">
        <f>104.36+394.35+200.75+157.61+337.5+277.5</f>
        <v>1472.0700000000002</v>
      </c>
      <c r="F49" s="67" t="s">
        <v>9</v>
      </c>
      <c r="G49" s="26" t="s">
        <v>72</v>
      </c>
    </row>
    <row r="50" spans="1:7" ht="15.75" thickBot="1" x14ac:dyDescent="0.3">
      <c r="A50" s="66"/>
      <c r="B50" s="68"/>
      <c r="C50" s="66"/>
      <c r="D50" s="68"/>
      <c r="E50" s="18">
        <v>224.43</v>
      </c>
      <c r="F50" s="68"/>
      <c r="G50" s="27" t="s">
        <v>147</v>
      </c>
    </row>
    <row r="51" spans="1:7" x14ac:dyDescent="0.25">
      <c r="A51" s="31">
        <v>35</v>
      </c>
      <c r="B51" s="28" t="s">
        <v>15</v>
      </c>
      <c r="C51" s="31" t="s">
        <v>15</v>
      </c>
      <c r="D51" s="28" t="s">
        <v>15</v>
      </c>
      <c r="E51" s="17">
        <v>1752.76</v>
      </c>
      <c r="F51" s="28" t="s">
        <v>9</v>
      </c>
      <c r="G51" s="29" t="s">
        <v>75</v>
      </c>
    </row>
    <row r="52" spans="1:7" x14ac:dyDescent="0.25">
      <c r="A52" s="11">
        <v>36</v>
      </c>
      <c r="B52" s="5" t="s">
        <v>15</v>
      </c>
      <c r="C52" s="11" t="s">
        <v>15</v>
      </c>
      <c r="D52" s="5" t="s">
        <v>15</v>
      </c>
      <c r="E52" s="8">
        <f>46774.47</f>
        <v>46774.47</v>
      </c>
      <c r="F52" s="5" t="s">
        <v>9</v>
      </c>
      <c r="G52" s="2" t="s">
        <v>76</v>
      </c>
    </row>
    <row r="53" spans="1:7" x14ac:dyDescent="0.25">
      <c r="A53" s="11">
        <v>37</v>
      </c>
      <c r="B53" s="5" t="s">
        <v>15</v>
      </c>
      <c r="C53" s="11" t="s">
        <v>15</v>
      </c>
      <c r="D53" s="5" t="s">
        <v>15</v>
      </c>
      <c r="E53" s="8">
        <f>600+600+600+600</f>
        <v>2400</v>
      </c>
      <c r="F53" s="5" t="s">
        <v>9</v>
      </c>
      <c r="G53" s="2" t="s">
        <v>77</v>
      </c>
    </row>
    <row r="54" spans="1:7" x14ac:dyDescent="0.25">
      <c r="A54" s="11">
        <v>38</v>
      </c>
      <c r="B54" s="5" t="s">
        <v>801</v>
      </c>
      <c r="C54" s="11">
        <v>29743547503</v>
      </c>
      <c r="D54" s="5" t="s">
        <v>802</v>
      </c>
      <c r="E54" s="8">
        <v>3314</v>
      </c>
      <c r="F54" s="5" t="s">
        <v>9</v>
      </c>
      <c r="G54" s="2" t="s">
        <v>803</v>
      </c>
    </row>
    <row r="55" spans="1:7" x14ac:dyDescent="0.25">
      <c r="A55" s="11">
        <v>39</v>
      </c>
      <c r="B55" s="21" t="s">
        <v>78</v>
      </c>
      <c r="C55" s="22">
        <v>70133616033</v>
      </c>
      <c r="D55" s="21" t="s">
        <v>81</v>
      </c>
      <c r="E55" s="8">
        <v>2531.77</v>
      </c>
      <c r="F55" s="21" t="s">
        <v>9</v>
      </c>
      <c r="G55" s="2" t="s">
        <v>150</v>
      </c>
    </row>
    <row r="56" spans="1:7" x14ac:dyDescent="0.25">
      <c r="A56" s="11">
        <v>40</v>
      </c>
      <c r="B56" s="21" t="s">
        <v>79</v>
      </c>
      <c r="C56" s="22">
        <v>81793146560</v>
      </c>
      <c r="D56" s="21" t="s">
        <v>80</v>
      </c>
      <c r="E56" s="8">
        <f>2332.6+16.8</f>
        <v>2349.4</v>
      </c>
      <c r="F56" s="5" t="s">
        <v>9</v>
      </c>
      <c r="G56" s="2" t="s">
        <v>150</v>
      </c>
    </row>
    <row r="57" spans="1:7" x14ac:dyDescent="0.25">
      <c r="A57" s="11">
        <v>41</v>
      </c>
      <c r="B57" s="5" t="s">
        <v>82</v>
      </c>
      <c r="C57" s="11">
        <v>46163832762</v>
      </c>
      <c r="D57" s="5" t="s">
        <v>111</v>
      </c>
      <c r="E57" s="8">
        <v>17.61</v>
      </c>
      <c r="F57" s="5" t="s">
        <v>9</v>
      </c>
      <c r="G57" s="2" t="s">
        <v>70</v>
      </c>
    </row>
    <row r="58" spans="1:7" x14ac:dyDescent="0.25">
      <c r="A58" s="11">
        <v>42</v>
      </c>
      <c r="B58" s="5" t="s">
        <v>83</v>
      </c>
      <c r="C58" s="11">
        <v>41412434130</v>
      </c>
      <c r="D58" s="5" t="s">
        <v>110</v>
      </c>
      <c r="E58" s="8">
        <v>329.28</v>
      </c>
      <c r="F58" s="5" t="s">
        <v>9</v>
      </c>
      <c r="G58" s="2" t="s">
        <v>70</v>
      </c>
    </row>
    <row r="59" spans="1:7" x14ac:dyDescent="0.25">
      <c r="A59" s="11">
        <v>43</v>
      </c>
      <c r="B59" s="5" t="s">
        <v>84</v>
      </c>
      <c r="C59" s="12" t="s">
        <v>112</v>
      </c>
      <c r="D59" s="5" t="s">
        <v>113</v>
      </c>
      <c r="E59" s="8">
        <f>286.29</f>
        <v>286.29000000000002</v>
      </c>
      <c r="F59" s="5" t="s">
        <v>9</v>
      </c>
      <c r="G59" s="2" t="s">
        <v>70</v>
      </c>
    </row>
    <row r="60" spans="1:7" x14ac:dyDescent="0.25">
      <c r="A60" s="11">
        <v>44</v>
      </c>
      <c r="B60" s="5" t="s">
        <v>500</v>
      </c>
      <c r="C60" s="11">
        <v>85584865987</v>
      </c>
      <c r="D60" s="5" t="s">
        <v>501</v>
      </c>
      <c r="E60" s="8">
        <f>2135.08+829.12</f>
        <v>2964.2</v>
      </c>
      <c r="F60" s="5" t="s">
        <v>9</v>
      </c>
      <c r="G60" s="2" t="s">
        <v>70</v>
      </c>
    </row>
    <row r="61" spans="1:7" x14ac:dyDescent="0.25">
      <c r="A61" s="11">
        <v>45</v>
      </c>
      <c r="B61" s="5" t="s">
        <v>91</v>
      </c>
      <c r="C61" s="11">
        <v>62534176727</v>
      </c>
      <c r="D61" s="5" t="s">
        <v>117</v>
      </c>
      <c r="E61" s="8">
        <f>4276.25</f>
        <v>4276.25</v>
      </c>
      <c r="F61" s="5" t="s">
        <v>9</v>
      </c>
      <c r="G61" s="2" t="s">
        <v>20</v>
      </c>
    </row>
    <row r="62" spans="1:7" x14ac:dyDescent="0.25">
      <c r="A62" s="11">
        <v>46</v>
      </c>
      <c r="B62" s="5" t="s">
        <v>718</v>
      </c>
      <c r="C62" s="11">
        <v>81454875320</v>
      </c>
      <c r="D62" s="5" t="s">
        <v>719</v>
      </c>
      <c r="E62" s="8">
        <v>297.5</v>
      </c>
      <c r="F62" s="5" t="s">
        <v>9</v>
      </c>
      <c r="G62" s="2" t="s">
        <v>20</v>
      </c>
    </row>
    <row r="63" spans="1:7" x14ac:dyDescent="0.25">
      <c r="A63" s="11">
        <v>47</v>
      </c>
      <c r="B63" s="5" t="s">
        <v>334</v>
      </c>
      <c r="C63" s="11" t="s">
        <v>335</v>
      </c>
      <c r="D63" s="5" t="s">
        <v>336</v>
      </c>
      <c r="E63" s="8">
        <f>476.28</f>
        <v>476.28</v>
      </c>
      <c r="F63" s="5" t="s">
        <v>9</v>
      </c>
      <c r="G63" s="2" t="s">
        <v>20</v>
      </c>
    </row>
    <row r="64" spans="1:7" x14ac:dyDescent="0.25">
      <c r="A64" s="11">
        <v>48</v>
      </c>
      <c r="B64" s="19" t="s">
        <v>513</v>
      </c>
      <c r="C64" s="35" t="s">
        <v>514</v>
      </c>
      <c r="D64" s="19" t="s">
        <v>515</v>
      </c>
      <c r="E64" s="8">
        <f>5568.75</f>
        <v>5568.75</v>
      </c>
      <c r="F64" s="5" t="s">
        <v>9</v>
      </c>
      <c r="G64" s="2" t="s">
        <v>20</v>
      </c>
    </row>
    <row r="65" spans="1:7" x14ac:dyDescent="0.25">
      <c r="A65" s="11">
        <v>49</v>
      </c>
      <c r="B65" s="5" t="s">
        <v>627</v>
      </c>
      <c r="C65" s="11">
        <v>64862538713</v>
      </c>
      <c r="D65" s="5" t="s">
        <v>628</v>
      </c>
      <c r="E65" s="8">
        <f>176.63</f>
        <v>176.63</v>
      </c>
      <c r="F65" s="5" t="s">
        <v>9</v>
      </c>
      <c r="G65" s="2" t="s">
        <v>20</v>
      </c>
    </row>
    <row r="66" spans="1:7" x14ac:dyDescent="0.25">
      <c r="A66" s="11">
        <v>50</v>
      </c>
      <c r="B66" s="19" t="s">
        <v>804</v>
      </c>
      <c r="C66" s="35" t="s">
        <v>805</v>
      </c>
      <c r="D66" s="19" t="s">
        <v>806</v>
      </c>
      <c r="E66" s="8">
        <v>304.39999999999998</v>
      </c>
      <c r="F66" s="5" t="s">
        <v>9</v>
      </c>
      <c r="G66" s="2" t="s">
        <v>20</v>
      </c>
    </row>
    <row r="67" spans="1:7" x14ac:dyDescent="0.25">
      <c r="A67" s="11">
        <v>51</v>
      </c>
      <c r="B67" s="5" t="s">
        <v>807</v>
      </c>
      <c r="C67" s="11">
        <v>23035642859</v>
      </c>
      <c r="D67" s="5" t="s">
        <v>808</v>
      </c>
      <c r="E67" s="8">
        <v>443.56</v>
      </c>
      <c r="F67" s="5" t="s">
        <v>9</v>
      </c>
      <c r="G67" s="2" t="s">
        <v>283</v>
      </c>
    </row>
    <row r="68" spans="1:7" x14ac:dyDescent="0.25">
      <c r="A68" s="11">
        <v>52</v>
      </c>
      <c r="B68" s="19" t="s">
        <v>809</v>
      </c>
      <c r="C68" s="35">
        <v>53769098448</v>
      </c>
      <c r="D68" s="19" t="s">
        <v>810</v>
      </c>
      <c r="E68" s="15">
        <v>450</v>
      </c>
      <c r="F68" s="5" t="s">
        <v>9</v>
      </c>
      <c r="G68" s="2" t="s">
        <v>20</v>
      </c>
    </row>
    <row r="69" spans="1:7" x14ac:dyDescent="0.25">
      <c r="A69" s="11">
        <v>53</v>
      </c>
      <c r="B69" s="5" t="s">
        <v>259</v>
      </c>
      <c r="C69" s="11">
        <v>10765766984</v>
      </c>
      <c r="D69" s="5" t="s">
        <v>260</v>
      </c>
      <c r="E69" s="8">
        <f>1463</f>
        <v>1463</v>
      </c>
      <c r="F69" s="5" t="s">
        <v>9</v>
      </c>
      <c r="G69" s="2" t="s">
        <v>20</v>
      </c>
    </row>
    <row r="70" spans="1:7" x14ac:dyDescent="0.25">
      <c r="A70" s="11">
        <v>54</v>
      </c>
      <c r="B70" s="5" t="s">
        <v>381</v>
      </c>
      <c r="C70" s="11">
        <v>25339023257</v>
      </c>
      <c r="D70" s="5" t="s">
        <v>382</v>
      </c>
      <c r="E70" s="8">
        <f>1251.63</f>
        <v>1251.6300000000001</v>
      </c>
      <c r="F70" s="5" t="s">
        <v>9</v>
      </c>
      <c r="G70" s="2" t="s">
        <v>20</v>
      </c>
    </row>
    <row r="71" spans="1:7" x14ac:dyDescent="0.25">
      <c r="A71" s="11">
        <v>55</v>
      </c>
      <c r="B71" s="5" t="s">
        <v>811</v>
      </c>
      <c r="C71" s="11">
        <v>44284514731</v>
      </c>
      <c r="D71" s="5" t="s">
        <v>812</v>
      </c>
      <c r="E71" s="8">
        <v>3702.04</v>
      </c>
      <c r="F71" s="5" t="s">
        <v>9</v>
      </c>
      <c r="G71" s="2" t="s">
        <v>20</v>
      </c>
    </row>
    <row r="72" spans="1:7" x14ac:dyDescent="0.25">
      <c r="A72" s="11">
        <v>56</v>
      </c>
      <c r="B72" s="19" t="s">
        <v>813</v>
      </c>
      <c r="C72" s="35">
        <v>56290033854</v>
      </c>
      <c r="D72" s="19" t="s">
        <v>814</v>
      </c>
      <c r="E72" s="8">
        <v>102.5</v>
      </c>
      <c r="F72" s="5" t="s">
        <v>9</v>
      </c>
      <c r="G72" s="2" t="s">
        <v>682</v>
      </c>
    </row>
    <row r="73" spans="1:7" x14ac:dyDescent="0.25">
      <c r="A73" s="11">
        <v>57</v>
      </c>
      <c r="B73" s="19" t="s">
        <v>815</v>
      </c>
      <c r="C73" s="35">
        <v>84996591256</v>
      </c>
      <c r="D73" s="19" t="s">
        <v>816</v>
      </c>
      <c r="E73" s="8">
        <v>162.93</v>
      </c>
      <c r="F73" s="5" t="s">
        <v>9</v>
      </c>
      <c r="G73" s="2" t="s">
        <v>20</v>
      </c>
    </row>
    <row r="74" spans="1:7" x14ac:dyDescent="0.25">
      <c r="A74" s="11">
        <v>58</v>
      </c>
      <c r="B74" s="19" t="s">
        <v>817</v>
      </c>
      <c r="C74" s="35">
        <v>80885983918</v>
      </c>
      <c r="D74" s="19" t="s">
        <v>818</v>
      </c>
      <c r="E74" s="8">
        <v>200.2</v>
      </c>
      <c r="F74" s="5" t="s">
        <v>9</v>
      </c>
      <c r="G74" s="2" t="s">
        <v>819</v>
      </c>
    </row>
    <row r="75" spans="1:7" x14ac:dyDescent="0.25">
      <c r="A75" s="11">
        <v>59</v>
      </c>
      <c r="B75" s="19" t="s">
        <v>820</v>
      </c>
      <c r="C75" s="35">
        <v>32788783151</v>
      </c>
      <c r="D75" s="19" t="s">
        <v>821</v>
      </c>
      <c r="E75" s="8">
        <v>18.079999999999998</v>
      </c>
      <c r="F75" s="5" t="s">
        <v>9</v>
      </c>
      <c r="G75" s="2" t="s">
        <v>20</v>
      </c>
    </row>
    <row r="76" spans="1:7" x14ac:dyDescent="0.25">
      <c r="A76" s="11">
        <v>60</v>
      </c>
      <c r="B76" s="19" t="s">
        <v>822</v>
      </c>
      <c r="C76" s="35">
        <v>54821149855</v>
      </c>
      <c r="D76" s="19" t="s">
        <v>823</v>
      </c>
      <c r="E76" s="8">
        <v>275.58999999999997</v>
      </c>
      <c r="F76" s="5" t="s">
        <v>9</v>
      </c>
      <c r="G76" s="2" t="s">
        <v>147</v>
      </c>
    </row>
    <row r="77" spans="1:7" x14ac:dyDescent="0.25">
      <c r="A77" s="11">
        <v>61</v>
      </c>
      <c r="B77" s="19" t="s">
        <v>824</v>
      </c>
      <c r="C77" s="35">
        <v>41454039816</v>
      </c>
      <c r="D77" s="19" t="s">
        <v>825</v>
      </c>
      <c r="E77" s="8">
        <v>837.5</v>
      </c>
      <c r="F77" s="5" t="s">
        <v>9</v>
      </c>
      <c r="G77" s="2" t="s">
        <v>581</v>
      </c>
    </row>
    <row r="78" spans="1:7" x14ac:dyDescent="0.25">
      <c r="A78" s="11">
        <v>62</v>
      </c>
      <c r="B78" s="5" t="s">
        <v>692</v>
      </c>
      <c r="C78" s="11">
        <v>73294314024</v>
      </c>
      <c r="D78" s="5" t="s">
        <v>287</v>
      </c>
      <c r="E78" s="8">
        <f>2.65</f>
        <v>2.65</v>
      </c>
      <c r="F78" s="5" t="s">
        <v>9</v>
      </c>
      <c r="G78" s="2" t="s">
        <v>286</v>
      </c>
    </row>
    <row r="79" spans="1:7" x14ac:dyDescent="0.25">
      <c r="A79" s="11">
        <v>63</v>
      </c>
      <c r="B79" s="5" t="s">
        <v>547</v>
      </c>
      <c r="C79" s="12" t="s">
        <v>548</v>
      </c>
      <c r="D79" s="5" t="s">
        <v>549</v>
      </c>
      <c r="E79" s="8">
        <v>102.5</v>
      </c>
      <c r="F79" s="5" t="s">
        <v>9</v>
      </c>
      <c r="G79" s="2" t="s">
        <v>550</v>
      </c>
    </row>
    <row r="80" spans="1:7" x14ac:dyDescent="0.25">
      <c r="A80" s="11">
        <v>64</v>
      </c>
      <c r="B80" s="5" t="s">
        <v>826</v>
      </c>
      <c r="C80" s="11" t="s">
        <v>827</v>
      </c>
      <c r="D80" s="5" t="s">
        <v>828</v>
      </c>
      <c r="E80" s="8">
        <v>92.6</v>
      </c>
      <c r="F80" s="5" t="s">
        <v>9</v>
      </c>
      <c r="G80" s="2" t="s">
        <v>20</v>
      </c>
    </row>
    <row r="81" spans="1:7" x14ac:dyDescent="0.25">
      <c r="A81" s="11">
        <v>65</v>
      </c>
      <c r="B81" s="5" t="s">
        <v>829</v>
      </c>
      <c r="C81" s="11">
        <v>57175378751</v>
      </c>
      <c r="D81" s="5" t="s">
        <v>830</v>
      </c>
      <c r="E81" s="8">
        <v>1442.5</v>
      </c>
      <c r="F81" s="5" t="s">
        <v>9</v>
      </c>
      <c r="G81" s="2" t="s">
        <v>20</v>
      </c>
    </row>
    <row r="82" spans="1:7" x14ac:dyDescent="0.25">
      <c r="A82" s="11">
        <v>66</v>
      </c>
      <c r="B82" s="5" t="s">
        <v>831</v>
      </c>
      <c r="C82" s="11">
        <v>39963036018</v>
      </c>
      <c r="D82" s="5" t="s">
        <v>832</v>
      </c>
      <c r="E82" s="8">
        <v>3012.5</v>
      </c>
      <c r="F82" s="5" t="s">
        <v>9</v>
      </c>
      <c r="G82" s="2" t="s">
        <v>20</v>
      </c>
    </row>
    <row r="83" spans="1:7" x14ac:dyDescent="0.25">
      <c r="A83" s="11">
        <v>67</v>
      </c>
      <c r="B83" s="5" t="s">
        <v>833</v>
      </c>
      <c r="C83" s="11">
        <v>41585115451</v>
      </c>
      <c r="D83" s="5" t="s">
        <v>834</v>
      </c>
      <c r="E83" s="8">
        <v>229.11</v>
      </c>
      <c r="F83" s="5" t="s">
        <v>9</v>
      </c>
      <c r="G83" s="2" t="s">
        <v>20</v>
      </c>
    </row>
    <row r="84" spans="1:7" x14ac:dyDescent="0.25">
      <c r="A84" s="11">
        <v>68</v>
      </c>
      <c r="B84" s="5" t="s">
        <v>330</v>
      </c>
      <c r="C84" s="11">
        <v>27712717103</v>
      </c>
      <c r="D84" s="5" t="s">
        <v>331</v>
      </c>
      <c r="E84" s="8">
        <v>5855.63</v>
      </c>
      <c r="F84" s="36" t="s">
        <v>9</v>
      </c>
      <c r="G84" s="2" t="s">
        <v>55</v>
      </c>
    </row>
    <row r="85" spans="1:7" x14ac:dyDescent="0.25">
      <c r="A85" s="11">
        <v>69</v>
      </c>
      <c r="B85" s="5" t="s">
        <v>273</v>
      </c>
      <c r="C85" s="11">
        <v>100299833</v>
      </c>
      <c r="D85" s="5" t="s">
        <v>280</v>
      </c>
      <c r="E85" s="8">
        <f>1473</f>
        <v>1473</v>
      </c>
      <c r="F85" s="5" t="s">
        <v>9</v>
      </c>
      <c r="G85" s="2" t="s">
        <v>20</v>
      </c>
    </row>
    <row r="86" spans="1:7" x14ac:dyDescent="0.25">
      <c r="A86" s="11">
        <v>70</v>
      </c>
      <c r="B86" s="5" t="s">
        <v>835</v>
      </c>
      <c r="C86" s="11">
        <v>19422090987</v>
      </c>
      <c r="D86" s="5" t="s">
        <v>836</v>
      </c>
      <c r="E86" s="8">
        <v>480.91</v>
      </c>
      <c r="F86" s="5" t="s">
        <v>9</v>
      </c>
      <c r="G86" s="2" t="s">
        <v>581</v>
      </c>
    </row>
    <row r="87" spans="1:7" x14ac:dyDescent="0.25">
      <c r="A87" s="11">
        <v>71</v>
      </c>
      <c r="B87" s="19" t="s">
        <v>837</v>
      </c>
      <c r="C87" s="30">
        <v>98690928331</v>
      </c>
      <c r="D87" s="19" t="s">
        <v>838</v>
      </c>
      <c r="E87" s="8">
        <v>1562.5</v>
      </c>
      <c r="F87" s="5" t="s">
        <v>9</v>
      </c>
      <c r="G87" s="2" t="s">
        <v>37</v>
      </c>
    </row>
    <row r="88" spans="1:7" x14ac:dyDescent="0.25">
      <c r="A88" s="11">
        <v>72</v>
      </c>
      <c r="B88" s="5" t="s">
        <v>839</v>
      </c>
      <c r="C88" s="12">
        <v>17695528532</v>
      </c>
      <c r="D88" s="5" t="s">
        <v>840</v>
      </c>
      <c r="E88" s="8">
        <v>11</v>
      </c>
      <c r="F88" s="5" t="s">
        <v>9</v>
      </c>
      <c r="G88" s="2" t="s">
        <v>283</v>
      </c>
    </row>
    <row r="89" spans="1:7" x14ac:dyDescent="0.25">
      <c r="A89" s="11">
        <v>73</v>
      </c>
      <c r="B89" s="5" t="s">
        <v>841</v>
      </c>
      <c r="C89" s="11">
        <v>40518747839</v>
      </c>
      <c r="D89" s="5" t="s">
        <v>842</v>
      </c>
      <c r="E89" s="8">
        <f>60.14</f>
        <v>60.14</v>
      </c>
      <c r="F89" s="5" t="s">
        <v>9</v>
      </c>
      <c r="G89" s="2" t="s">
        <v>20</v>
      </c>
    </row>
    <row r="90" spans="1:7" x14ac:dyDescent="0.25">
      <c r="A90" s="11">
        <v>74</v>
      </c>
      <c r="B90" s="19" t="s">
        <v>843</v>
      </c>
      <c r="C90" s="30">
        <v>84515892678</v>
      </c>
      <c r="D90" s="19" t="s">
        <v>844</v>
      </c>
      <c r="E90" s="8">
        <v>337.5</v>
      </c>
      <c r="F90" s="5" t="s">
        <v>9</v>
      </c>
      <c r="G90" s="2" t="s">
        <v>20</v>
      </c>
    </row>
    <row r="91" spans="1:7" x14ac:dyDescent="0.25">
      <c r="A91" s="11">
        <v>75</v>
      </c>
      <c r="B91" s="19" t="s">
        <v>406</v>
      </c>
      <c r="C91" s="30">
        <v>94167807411</v>
      </c>
      <c r="D91" s="19" t="s">
        <v>407</v>
      </c>
      <c r="E91" s="8">
        <f>39.34</f>
        <v>39.340000000000003</v>
      </c>
      <c r="F91" s="5" t="s">
        <v>9</v>
      </c>
      <c r="G91" s="2" t="s">
        <v>20</v>
      </c>
    </row>
    <row r="92" spans="1:7" x14ac:dyDescent="0.25">
      <c r="A92" s="11">
        <v>76</v>
      </c>
      <c r="B92" s="5" t="s">
        <v>582</v>
      </c>
      <c r="C92" s="11">
        <v>72702911449</v>
      </c>
      <c r="D92" s="5" t="s">
        <v>583</v>
      </c>
      <c r="E92" s="8">
        <f>60+95</f>
        <v>155</v>
      </c>
      <c r="F92" s="5" t="s">
        <v>9</v>
      </c>
      <c r="G92" s="2" t="s">
        <v>584</v>
      </c>
    </row>
    <row r="93" spans="1:7" x14ac:dyDescent="0.25">
      <c r="A93" s="11">
        <v>77</v>
      </c>
      <c r="B93" s="5" t="s">
        <v>667</v>
      </c>
      <c r="C93" s="11">
        <v>76080865307</v>
      </c>
      <c r="D93" s="5" t="s">
        <v>668</v>
      </c>
      <c r="E93" s="8">
        <v>102.48</v>
      </c>
      <c r="F93" s="5" t="s">
        <v>9</v>
      </c>
      <c r="G93" s="2" t="s">
        <v>147</v>
      </c>
    </row>
    <row r="94" spans="1:7" x14ac:dyDescent="0.25">
      <c r="A94" s="11">
        <v>78</v>
      </c>
      <c r="B94" s="5" t="s">
        <v>245</v>
      </c>
      <c r="C94" s="12" t="s">
        <v>247</v>
      </c>
      <c r="D94" s="5" t="s">
        <v>246</v>
      </c>
      <c r="E94" s="8">
        <f>965.73+986.48</f>
        <v>1952.21</v>
      </c>
      <c r="F94" s="5" t="s">
        <v>9</v>
      </c>
      <c r="G94" s="2" t="s">
        <v>243</v>
      </c>
    </row>
    <row r="95" spans="1:7" x14ac:dyDescent="0.25">
      <c r="A95" s="11">
        <v>79</v>
      </c>
      <c r="B95" s="5" t="s">
        <v>678</v>
      </c>
      <c r="C95" s="11">
        <v>12443607100</v>
      </c>
      <c r="D95" s="5" t="s">
        <v>679</v>
      </c>
      <c r="E95" s="8">
        <f>900</f>
        <v>900</v>
      </c>
      <c r="F95" s="5" t="s">
        <v>9</v>
      </c>
      <c r="G95" s="2" t="s">
        <v>20</v>
      </c>
    </row>
    <row r="96" spans="1:7" x14ac:dyDescent="0.25">
      <c r="A96" s="11">
        <v>80</v>
      </c>
      <c r="B96" s="5" t="s">
        <v>845</v>
      </c>
      <c r="C96" s="12" t="s">
        <v>846</v>
      </c>
      <c r="D96" s="5" t="s">
        <v>847</v>
      </c>
      <c r="E96" s="8">
        <f>69.31</f>
        <v>69.31</v>
      </c>
      <c r="F96" s="5" t="s">
        <v>9</v>
      </c>
      <c r="G96" s="2" t="s">
        <v>848</v>
      </c>
    </row>
    <row r="97" spans="1:7" x14ac:dyDescent="0.25">
      <c r="A97" s="11">
        <v>81</v>
      </c>
      <c r="B97" s="5" t="s">
        <v>849</v>
      </c>
      <c r="C97" s="11">
        <v>46490936145</v>
      </c>
      <c r="D97" s="5" t="s">
        <v>850</v>
      </c>
      <c r="E97" s="8">
        <f>293.75</f>
        <v>293.75</v>
      </c>
      <c r="F97" s="5" t="s">
        <v>9</v>
      </c>
      <c r="G97" s="2" t="s">
        <v>20</v>
      </c>
    </row>
    <row r="98" spans="1:7" x14ac:dyDescent="0.25">
      <c r="A98" s="11">
        <v>82</v>
      </c>
      <c r="B98" s="5" t="s">
        <v>851</v>
      </c>
      <c r="C98" s="12">
        <v>82941319525</v>
      </c>
      <c r="D98" s="5" t="s">
        <v>852</v>
      </c>
      <c r="E98" s="8">
        <v>1309.8800000000001</v>
      </c>
      <c r="F98" s="5" t="s">
        <v>9</v>
      </c>
      <c r="G98" s="2" t="s">
        <v>20</v>
      </c>
    </row>
    <row r="99" spans="1:7" x14ac:dyDescent="0.25">
      <c r="A99" s="11">
        <v>83</v>
      </c>
      <c r="B99" s="5" t="s">
        <v>853</v>
      </c>
      <c r="C99" s="12">
        <v>60126992663</v>
      </c>
      <c r="D99" s="5" t="s">
        <v>854</v>
      </c>
      <c r="E99" s="8">
        <v>183.58</v>
      </c>
      <c r="F99" s="5" t="s">
        <v>9</v>
      </c>
      <c r="G99" s="2" t="s">
        <v>20</v>
      </c>
    </row>
    <row r="100" spans="1:7" x14ac:dyDescent="0.25">
      <c r="A100" s="11">
        <v>84</v>
      </c>
      <c r="B100" s="5" t="s">
        <v>855</v>
      </c>
      <c r="C100" s="12" t="s">
        <v>856</v>
      </c>
      <c r="D100" s="5" t="s">
        <v>857</v>
      </c>
      <c r="E100" s="8">
        <v>174.5</v>
      </c>
      <c r="F100" s="5" t="s">
        <v>9</v>
      </c>
      <c r="G100" s="2" t="s">
        <v>20</v>
      </c>
    </row>
    <row r="101" spans="1:7" x14ac:dyDescent="0.25">
      <c r="A101" s="11">
        <v>85</v>
      </c>
      <c r="B101" s="36" t="s">
        <v>414</v>
      </c>
      <c r="C101" s="37">
        <v>41025754642</v>
      </c>
      <c r="D101" s="36" t="s">
        <v>415</v>
      </c>
      <c r="E101" s="8">
        <f>437.5+1250</f>
        <v>1687.5</v>
      </c>
      <c r="F101" s="5" t="s">
        <v>9</v>
      </c>
      <c r="G101" s="2" t="s">
        <v>55</v>
      </c>
    </row>
    <row r="102" spans="1:7" x14ac:dyDescent="0.25">
      <c r="A102" s="11">
        <v>86</v>
      </c>
      <c r="B102" s="5" t="s">
        <v>374</v>
      </c>
      <c r="C102" s="11">
        <v>43764396102</v>
      </c>
      <c r="D102" s="5" t="s">
        <v>375</v>
      </c>
      <c r="E102" s="8">
        <f>2000+5000+4220+3000</f>
        <v>14220</v>
      </c>
      <c r="F102" s="5" t="s">
        <v>9</v>
      </c>
      <c r="G102" s="2" t="s">
        <v>20</v>
      </c>
    </row>
    <row r="103" spans="1:7" x14ac:dyDescent="0.25">
      <c r="A103" s="11">
        <v>87</v>
      </c>
      <c r="B103" s="5" t="s">
        <v>88</v>
      </c>
      <c r="C103" s="11" t="s">
        <v>115</v>
      </c>
      <c r="D103" s="5" t="s">
        <v>89</v>
      </c>
      <c r="E103" s="8">
        <f>15087.81+20000+10000+452.5</f>
        <v>45540.31</v>
      </c>
      <c r="F103" s="5" t="s">
        <v>9</v>
      </c>
      <c r="G103" s="2" t="s">
        <v>20</v>
      </c>
    </row>
    <row r="104" spans="1:7" x14ac:dyDescent="0.25">
      <c r="A104" s="11">
        <v>88</v>
      </c>
      <c r="B104" s="5" t="s">
        <v>397</v>
      </c>
      <c r="C104" s="12" t="s">
        <v>399</v>
      </c>
      <c r="D104" s="5" t="s">
        <v>398</v>
      </c>
      <c r="E104" s="8">
        <f>1000+1000+2113.09+3000+1028.1+1000</f>
        <v>9141.19</v>
      </c>
      <c r="F104" s="5" t="s">
        <v>9</v>
      </c>
      <c r="G104" s="2" t="s">
        <v>183</v>
      </c>
    </row>
    <row r="105" spans="1:7" x14ac:dyDescent="0.25">
      <c r="A105" s="11">
        <v>89</v>
      </c>
      <c r="B105" s="19" t="s">
        <v>720</v>
      </c>
      <c r="C105" s="30">
        <v>63935501357</v>
      </c>
      <c r="D105" s="19" t="s">
        <v>721</v>
      </c>
      <c r="E105" s="15">
        <f>137.5</f>
        <v>137.5</v>
      </c>
      <c r="F105" s="19" t="s">
        <v>9</v>
      </c>
      <c r="G105" s="25" t="s">
        <v>72</v>
      </c>
    </row>
    <row r="106" spans="1:7" x14ac:dyDescent="0.25">
      <c r="A106" s="11">
        <v>90</v>
      </c>
      <c r="B106" s="5" t="s">
        <v>722</v>
      </c>
      <c r="C106" s="11">
        <v>89206455960</v>
      </c>
      <c r="D106" s="5" t="s">
        <v>723</v>
      </c>
      <c r="E106" s="8">
        <f>13.75</f>
        <v>13.75</v>
      </c>
      <c r="F106" s="5" t="s">
        <v>9</v>
      </c>
      <c r="G106" s="2" t="s">
        <v>20</v>
      </c>
    </row>
    <row r="107" spans="1:7" x14ac:dyDescent="0.25">
      <c r="A107" s="11">
        <v>91</v>
      </c>
      <c r="B107" s="5" t="s">
        <v>724</v>
      </c>
      <c r="C107" s="12">
        <v>95950787630</v>
      </c>
      <c r="D107" s="5" t="s">
        <v>725</v>
      </c>
      <c r="E107" s="8">
        <v>388.6</v>
      </c>
      <c r="F107" s="5" t="s">
        <v>9</v>
      </c>
      <c r="G107" s="2" t="s">
        <v>20</v>
      </c>
    </row>
    <row r="108" spans="1:7" x14ac:dyDescent="0.25">
      <c r="A108" s="11">
        <v>92</v>
      </c>
      <c r="B108" s="5" t="s">
        <v>726</v>
      </c>
      <c r="C108" s="12" t="s">
        <v>727</v>
      </c>
      <c r="D108" s="5" t="s">
        <v>728</v>
      </c>
      <c r="E108" s="8">
        <f>595+2150</f>
        <v>2745</v>
      </c>
      <c r="F108" s="5" t="s">
        <v>9</v>
      </c>
      <c r="G108" s="2" t="s">
        <v>20</v>
      </c>
    </row>
    <row r="109" spans="1:7" x14ac:dyDescent="0.25">
      <c r="A109" s="11">
        <v>93</v>
      </c>
      <c r="B109" s="5" t="s">
        <v>729</v>
      </c>
      <c r="C109" s="12">
        <v>99940897955</v>
      </c>
      <c r="D109" s="5" t="s">
        <v>730</v>
      </c>
      <c r="E109" s="8">
        <v>163.69</v>
      </c>
      <c r="F109" s="5" t="s">
        <v>9</v>
      </c>
      <c r="G109" s="2" t="s">
        <v>147</v>
      </c>
    </row>
    <row r="110" spans="1:7" x14ac:dyDescent="0.25">
      <c r="A110" s="11">
        <v>94</v>
      </c>
      <c r="B110" s="5" t="s">
        <v>731</v>
      </c>
      <c r="C110" s="11">
        <v>33001753417</v>
      </c>
      <c r="D110" s="5" t="s">
        <v>732</v>
      </c>
      <c r="E110" s="8">
        <f>2000+1000+1615+3608.75</f>
        <v>8223.75</v>
      </c>
      <c r="F110" s="5" t="s">
        <v>9</v>
      </c>
      <c r="G110" s="2" t="s">
        <v>20</v>
      </c>
    </row>
    <row r="111" spans="1:7" x14ac:dyDescent="0.25">
      <c r="A111" s="11">
        <v>95</v>
      </c>
      <c r="B111" s="5" t="s">
        <v>458</v>
      </c>
      <c r="C111" s="11">
        <v>36856583241</v>
      </c>
      <c r="D111" s="5" t="s">
        <v>460</v>
      </c>
      <c r="E111" s="8">
        <v>125000</v>
      </c>
      <c r="F111" s="5" t="s">
        <v>9</v>
      </c>
      <c r="G111" s="2" t="s">
        <v>459</v>
      </c>
    </row>
    <row r="112" spans="1:7" x14ac:dyDescent="0.25">
      <c r="A112" s="11">
        <v>96</v>
      </c>
      <c r="B112" s="5" t="s">
        <v>148</v>
      </c>
      <c r="C112" s="11">
        <v>40779258479</v>
      </c>
      <c r="D112" s="5" t="s">
        <v>149</v>
      </c>
      <c r="E112" s="8">
        <f>12025+26715</f>
        <v>38740</v>
      </c>
      <c r="F112" s="5" t="s">
        <v>9</v>
      </c>
      <c r="G112" s="2" t="s">
        <v>20</v>
      </c>
    </row>
    <row r="113" spans="1:7" x14ac:dyDescent="0.25">
      <c r="A113" s="11">
        <v>97</v>
      </c>
      <c r="B113" s="5" t="s">
        <v>648</v>
      </c>
      <c r="C113" s="11" t="s">
        <v>649</v>
      </c>
      <c r="D113" s="5" t="s">
        <v>650</v>
      </c>
      <c r="E113" s="8">
        <f>5785.23</f>
        <v>5785.23</v>
      </c>
      <c r="F113" s="5" t="s">
        <v>9</v>
      </c>
      <c r="G113" s="2" t="s">
        <v>20</v>
      </c>
    </row>
    <row r="114" spans="1:7" x14ac:dyDescent="0.25">
      <c r="A114" s="11">
        <v>98</v>
      </c>
      <c r="B114" s="5" t="s">
        <v>365</v>
      </c>
      <c r="C114" s="11">
        <v>57845277445</v>
      </c>
      <c r="D114" s="5" t="s">
        <v>366</v>
      </c>
      <c r="E114" s="8">
        <v>393.75</v>
      </c>
      <c r="F114" s="5" t="s">
        <v>9</v>
      </c>
      <c r="G114" s="2" t="s">
        <v>96</v>
      </c>
    </row>
    <row r="115" spans="1:7" x14ac:dyDescent="0.25">
      <c r="A115" s="11">
        <v>99</v>
      </c>
      <c r="B115" s="5" t="s">
        <v>310</v>
      </c>
      <c r="C115" s="11" t="s">
        <v>312</v>
      </c>
      <c r="D115" s="5" t="s">
        <v>311</v>
      </c>
      <c r="E115" s="8">
        <f>4000+256.6+1000</f>
        <v>5256.6</v>
      </c>
      <c r="F115" s="5" t="s">
        <v>9</v>
      </c>
      <c r="G115" s="2" t="s">
        <v>20</v>
      </c>
    </row>
    <row r="116" spans="1:7" x14ac:dyDescent="0.25">
      <c r="A116" s="11">
        <v>100</v>
      </c>
      <c r="B116" s="5" t="s">
        <v>184</v>
      </c>
      <c r="C116" s="11">
        <v>42769559951</v>
      </c>
      <c r="D116" s="5" t="s">
        <v>185</v>
      </c>
      <c r="E116" s="8">
        <f>5000+5965.9+2000</f>
        <v>12965.9</v>
      </c>
      <c r="F116" s="5" t="s">
        <v>9</v>
      </c>
      <c r="G116" s="2" t="s">
        <v>20</v>
      </c>
    </row>
    <row r="117" spans="1:7" x14ac:dyDescent="0.25">
      <c r="A117" s="11">
        <v>101</v>
      </c>
      <c r="B117" s="5" t="s">
        <v>554</v>
      </c>
      <c r="C117" s="11">
        <v>40480660548</v>
      </c>
      <c r="D117" s="5" t="s">
        <v>555</v>
      </c>
      <c r="E117" s="8">
        <f>5000+5000+5000</f>
        <v>15000</v>
      </c>
      <c r="F117" s="5" t="s">
        <v>9</v>
      </c>
      <c r="G117" s="2" t="s">
        <v>20</v>
      </c>
    </row>
    <row r="118" spans="1:7" x14ac:dyDescent="0.25">
      <c r="A118" s="11">
        <v>102</v>
      </c>
      <c r="B118" s="5" t="s">
        <v>656</v>
      </c>
      <c r="C118" s="11">
        <v>96514832734</v>
      </c>
      <c r="D118" s="5" t="s">
        <v>657</v>
      </c>
      <c r="E118" s="8">
        <f>2000+2000+1000</f>
        <v>5000</v>
      </c>
      <c r="F118" s="5" t="s">
        <v>9</v>
      </c>
      <c r="G118" s="2" t="s">
        <v>20</v>
      </c>
    </row>
    <row r="119" spans="1:7" x14ac:dyDescent="0.25">
      <c r="A119" s="11">
        <v>103</v>
      </c>
      <c r="B119" s="5" t="s">
        <v>213</v>
      </c>
      <c r="C119" s="11">
        <v>38411868043</v>
      </c>
      <c r="D119" s="5" t="s">
        <v>214</v>
      </c>
      <c r="E119" s="8">
        <f>8243.75+9950+3000+1000</f>
        <v>22193.75</v>
      </c>
      <c r="F119" s="5" t="s">
        <v>9</v>
      </c>
      <c r="G119" s="2" t="s">
        <v>20</v>
      </c>
    </row>
    <row r="120" spans="1:7" x14ac:dyDescent="0.25">
      <c r="A120" s="11">
        <v>104</v>
      </c>
      <c r="B120" s="36" t="s">
        <v>733</v>
      </c>
      <c r="C120" s="37">
        <v>12912094439</v>
      </c>
      <c r="D120" s="36" t="s">
        <v>734</v>
      </c>
      <c r="E120" s="8">
        <v>1274.56</v>
      </c>
      <c r="F120" s="5" t="s">
        <v>9</v>
      </c>
      <c r="G120" s="2" t="s">
        <v>735</v>
      </c>
    </row>
    <row r="121" spans="1:7" x14ac:dyDescent="0.25">
      <c r="A121" s="11">
        <v>105</v>
      </c>
      <c r="B121" s="5" t="s">
        <v>269</v>
      </c>
      <c r="C121" s="11">
        <v>75202805533</v>
      </c>
      <c r="D121" s="5" t="s">
        <v>274</v>
      </c>
      <c r="E121" s="8">
        <f>31.81</f>
        <v>31.81</v>
      </c>
      <c r="F121" s="5" t="s">
        <v>9</v>
      </c>
      <c r="G121" s="2" t="s">
        <v>20</v>
      </c>
    </row>
    <row r="122" spans="1:7" x14ac:dyDescent="0.25">
      <c r="A122" s="11">
        <v>106</v>
      </c>
      <c r="B122" s="5" t="s">
        <v>644</v>
      </c>
      <c r="C122" s="11">
        <v>93475459627</v>
      </c>
      <c r="D122" s="5" t="s">
        <v>645</v>
      </c>
      <c r="E122" s="8">
        <f>27+82.38</f>
        <v>109.38</v>
      </c>
      <c r="F122" s="5" t="s">
        <v>9</v>
      </c>
      <c r="G122" s="2" t="s">
        <v>20</v>
      </c>
    </row>
    <row r="123" spans="1:7" x14ac:dyDescent="0.25">
      <c r="A123" s="11">
        <v>107</v>
      </c>
      <c r="B123" s="5" t="s">
        <v>495</v>
      </c>
      <c r="C123" s="11">
        <v>70467048139</v>
      </c>
      <c r="D123" s="5" t="s">
        <v>496</v>
      </c>
      <c r="E123" s="8">
        <f>2*16.01</f>
        <v>32.020000000000003</v>
      </c>
      <c r="F123" s="5" t="s">
        <v>9</v>
      </c>
      <c r="G123" s="2" t="s">
        <v>70</v>
      </c>
    </row>
    <row r="124" spans="1:7" x14ac:dyDescent="0.25">
      <c r="A124" s="11">
        <v>108</v>
      </c>
      <c r="B124" s="28" t="s">
        <v>736</v>
      </c>
      <c r="C124" s="54" t="s">
        <v>737</v>
      </c>
      <c r="D124" s="28" t="s">
        <v>738</v>
      </c>
      <c r="E124" s="8">
        <f>301.06+2013.08+68.01</f>
        <v>2382.15</v>
      </c>
      <c r="F124" s="5" t="s">
        <v>9</v>
      </c>
      <c r="G124" s="2" t="s">
        <v>40</v>
      </c>
    </row>
    <row r="125" spans="1:7" x14ac:dyDescent="0.25">
      <c r="A125" s="11">
        <v>109</v>
      </c>
      <c r="B125" s="28" t="s">
        <v>739</v>
      </c>
      <c r="C125" s="31" t="s">
        <v>740</v>
      </c>
      <c r="D125" s="28" t="s">
        <v>741</v>
      </c>
      <c r="E125" s="8">
        <f>4053.6</f>
        <v>4053.6</v>
      </c>
      <c r="F125" s="5" t="s">
        <v>9</v>
      </c>
      <c r="G125" s="2" t="s">
        <v>20</v>
      </c>
    </row>
    <row r="126" spans="1:7" x14ac:dyDescent="0.25">
      <c r="A126" s="11">
        <v>110</v>
      </c>
      <c r="B126" s="19" t="s">
        <v>742</v>
      </c>
      <c r="C126" s="30">
        <v>36365310424</v>
      </c>
      <c r="D126" s="19" t="s">
        <v>743</v>
      </c>
      <c r="E126" s="8">
        <v>66.040000000000006</v>
      </c>
      <c r="F126" s="5" t="s">
        <v>9</v>
      </c>
      <c r="G126" s="2" t="s">
        <v>20</v>
      </c>
    </row>
    <row r="127" spans="1:7" x14ac:dyDescent="0.25">
      <c r="A127" s="11">
        <v>111</v>
      </c>
      <c r="B127" s="19" t="s">
        <v>744</v>
      </c>
      <c r="C127" s="30">
        <v>50056328499</v>
      </c>
      <c r="D127" s="19" t="s">
        <v>745</v>
      </c>
      <c r="E127" s="8">
        <v>110.41</v>
      </c>
      <c r="F127" s="5" t="s">
        <v>9</v>
      </c>
      <c r="G127" s="2" t="s">
        <v>305</v>
      </c>
    </row>
    <row r="128" spans="1:7" x14ac:dyDescent="0.25">
      <c r="A128" s="11">
        <v>112</v>
      </c>
      <c r="B128" s="19" t="s">
        <v>746</v>
      </c>
      <c r="C128" s="35" t="s">
        <v>747</v>
      </c>
      <c r="D128" s="19" t="s">
        <v>748</v>
      </c>
      <c r="E128" s="8">
        <v>236.25</v>
      </c>
      <c r="F128" s="5" t="s">
        <v>9</v>
      </c>
      <c r="G128" s="2" t="s">
        <v>20</v>
      </c>
    </row>
    <row r="129" spans="1:7" x14ac:dyDescent="0.25">
      <c r="A129" s="11">
        <v>113</v>
      </c>
      <c r="B129" s="19" t="s">
        <v>641</v>
      </c>
      <c r="C129" s="30">
        <v>48491501393</v>
      </c>
      <c r="D129" s="19" t="s">
        <v>642</v>
      </c>
      <c r="E129" s="8">
        <f>2000+1000+2000</f>
        <v>5000</v>
      </c>
      <c r="F129" s="5" t="s">
        <v>9</v>
      </c>
      <c r="G129" s="2" t="s">
        <v>20</v>
      </c>
    </row>
    <row r="130" spans="1:7" x14ac:dyDescent="0.25">
      <c r="A130" s="11">
        <v>114</v>
      </c>
      <c r="B130" s="5" t="s">
        <v>154</v>
      </c>
      <c r="C130" s="11">
        <v>72836081238</v>
      </c>
      <c r="D130" s="5" t="s">
        <v>155</v>
      </c>
      <c r="E130" s="8">
        <f>3000+5000+5000+2000+5000</f>
        <v>20000</v>
      </c>
      <c r="F130" s="5" t="s">
        <v>9</v>
      </c>
      <c r="G130" s="2" t="s">
        <v>20</v>
      </c>
    </row>
    <row r="131" spans="1:7" x14ac:dyDescent="0.25">
      <c r="A131" s="11">
        <v>115</v>
      </c>
      <c r="B131" s="5" t="s">
        <v>701</v>
      </c>
      <c r="C131" s="11">
        <v>18545665005</v>
      </c>
      <c r="D131" s="5" t="s">
        <v>258</v>
      </c>
      <c r="E131" s="8">
        <f>6250+2450+450</f>
        <v>9150</v>
      </c>
      <c r="F131" s="5" t="s">
        <v>9</v>
      </c>
      <c r="G131" s="2" t="s">
        <v>20</v>
      </c>
    </row>
    <row r="132" spans="1:7" x14ac:dyDescent="0.25">
      <c r="A132" s="11">
        <v>116</v>
      </c>
      <c r="B132" s="5" t="s">
        <v>22</v>
      </c>
      <c r="C132" s="11">
        <v>73660371074</v>
      </c>
      <c r="D132" s="5" t="s">
        <v>28</v>
      </c>
      <c r="E132" s="8">
        <f>284.43+214.11</f>
        <v>498.54</v>
      </c>
      <c r="F132" s="5" t="s">
        <v>9</v>
      </c>
      <c r="G132" s="2" t="s">
        <v>20</v>
      </c>
    </row>
    <row r="133" spans="1:7" x14ac:dyDescent="0.25">
      <c r="A133" s="11">
        <v>117</v>
      </c>
      <c r="B133" s="21" t="s">
        <v>408</v>
      </c>
      <c r="C133" s="22">
        <v>22248533094</v>
      </c>
      <c r="D133" s="21" t="s">
        <v>409</v>
      </c>
      <c r="E133" s="8">
        <f>367.08</f>
        <v>367.08</v>
      </c>
      <c r="F133" s="5" t="s">
        <v>9</v>
      </c>
      <c r="G133" s="2" t="s">
        <v>20</v>
      </c>
    </row>
    <row r="134" spans="1:7" x14ac:dyDescent="0.25">
      <c r="A134" s="11">
        <v>118</v>
      </c>
      <c r="B134" s="5" t="s">
        <v>403</v>
      </c>
      <c r="C134" s="11">
        <v>96536434016</v>
      </c>
      <c r="D134" s="5" t="s">
        <v>404</v>
      </c>
      <c r="E134" s="8">
        <f>308.13</f>
        <v>308.13</v>
      </c>
      <c r="F134" s="5" t="s">
        <v>9</v>
      </c>
      <c r="G134" s="2" t="s">
        <v>20</v>
      </c>
    </row>
    <row r="135" spans="1:7" x14ac:dyDescent="0.25">
      <c r="A135" s="11">
        <v>119</v>
      </c>
      <c r="B135" s="19" t="s">
        <v>749</v>
      </c>
      <c r="C135" s="35">
        <v>58530688474</v>
      </c>
      <c r="D135" s="19" t="s">
        <v>750</v>
      </c>
      <c r="E135" s="8">
        <f>650.85+212.53+53.73</f>
        <v>917.11</v>
      </c>
      <c r="F135" s="5" t="s">
        <v>9</v>
      </c>
      <c r="G135" s="2" t="s">
        <v>20</v>
      </c>
    </row>
    <row r="136" spans="1:7" x14ac:dyDescent="0.25">
      <c r="A136" s="11">
        <v>120</v>
      </c>
      <c r="B136" s="5" t="s">
        <v>751</v>
      </c>
      <c r="C136" s="11">
        <v>31748540626</v>
      </c>
      <c r="D136" s="5" t="s">
        <v>752</v>
      </c>
      <c r="E136" s="8">
        <v>349</v>
      </c>
      <c r="F136" s="5" t="s">
        <v>9</v>
      </c>
      <c r="G136" s="2" t="s">
        <v>20</v>
      </c>
    </row>
    <row r="137" spans="1:7" x14ac:dyDescent="0.25">
      <c r="A137" s="11">
        <v>121</v>
      </c>
      <c r="B137" s="5" t="s">
        <v>753</v>
      </c>
      <c r="C137" s="11">
        <v>22809411811</v>
      </c>
      <c r="D137" s="5" t="s">
        <v>754</v>
      </c>
      <c r="E137" s="8">
        <v>250.08</v>
      </c>
      <c r="F137" s="5" t="s">
        <v>9</v>
      </c>
      <c r="G137" s="2" t="s">
        <v>305</v>
      </c>
    </row>
    <row r="138" spans="1:7" x14ac:dyDescent="0.25">
      <c r="A138" s="11">
        <v>122</v>
      </c>
      <c r="B138" s="5" t="s">
        <v>755</v>
      </c>
      <c r="C138" s="11">
        <v>19319999888</v>
      </c>
      <c r="D138" s="5" t="s">
        <v>756</v>
      </c>
      <c r="E138" s="8">
        <v>4609.5</v>
      </c>
      <c r="F138" s="5" t="s">
        <v>9</v>
      </c>
      <c r="G138" s="2" t="s">
        <v>581</v>
      </c>
    </row>
    <row r="139" spans="1:7" x14ac:dyDescent="0.25">
      <c r="A139" s="11">
        <v>123</v>
      </c>
      <c r="B139" s="5" t="s">
        <v>757</v>
      </c>
      <c r="C139" s="11">
        <v>57269622478</v>
      </c>
      <c r="D139" s="5" t="s">
        <v>758</v>
      </c>
      <c r="E139" s="8">
        <v>202.14</v>
      </c>
      <c r="F139" s="5" t="s">
        <v>9</v>
      </c>
      <c r="G139" s="2" t="s">
        <v>20</v>
      </c>
    </row>
    <row r="140" spans="1:7" ht="15.75" thickBot="1" x14ac:dyDescent="0.3">
      <c r="A140" s="11">
        <v>124</v>
      </c>
      <c r="B140" s="19" t="s">
        <v>759</v>
      </c>
      <c r="C140" s="35" t="s">
        <v>760</v>
      </c>
      <c r="D140" s="19" t="s">
        <v>761</v>
      </c>
      <c r="E140" s="15">
        <v>687.5</v>
      </c>
      <c r="F140" s="19" t="s">
        <v>9</v>
      </c>
      <c r="G140" s="25" t="s">
        <v>762</v>
      </c>
    </row>
    <row r="141" spans="1:7" x14ac:dyDescent="0.25">
      <c r="A141" s="65">
        <v>125</v>
      </c>
      <c r="B141" s="67" t="s">
        <v>85</v>
      </c>
      <c r="C141" s="65" t="s">
        <v>303</v>
      </c>
      <c r="D141" s="79" t="s">
        <v>303</v>
      </c>
      <c r="E141" s="16">
        <v>1890</v>
      </c>
      <c r="F141" s="67" t="s">
        <v>9</v>
      </c>
      <c r="G141" s="26" t="s">
        <v>86</v>
      </c>
    </row>
    <row r="142" spans="1:7" ht="15.75" thickBot="1" x14ac:dyDescent="0.3">
      <c r="A142" s="66"/>
      <c r="B142" s="68"/>
      <c r="C142" s="66"/>
      <c r="D142" s="81"/>
      <c r="E142" s="18">
        <v>49</v>
      </c>
      <c r="F142" s="68"/>
      <c r="G142" s="27" t="s">
        <v>256</v>
      </c>
    </row>
    <row r="143" spans="1:7" x14ac:dyDescent="0.25">
      <c r="A143" s="31">
        <v>126</v>
      </c>
      <c r="B143" s="28" t="s">
        <v>486</v>
      </c>
      <c r="C143" s="31">
        <v>11374156664</v>
      </c>
      <c r="D143" s="28" t="s">
        <v>487</v>
      </c>
      <c r="E143" s="17">
        <f>169.15</f>
        <v>169.15</v>
      </c>
      <c r="F143" s="28" t="s">
        <v>9</v>
      </c>
      <c r="G143" s="29" t="s">
        <v>20</v>
      </c>
    </row>
    <row r="144" spans="1:7" x14ac:dyDescent="0.25">
      <c r="A144" s="11">
        <v>127</v>
      </c>
      <c r="B144" s="5" t="s">
        <v>143</v>
      </c>
      <c r="C144" s="11">
        <v>64546066176</v>
      </c>
      <c r="D144" s="5" t="s">
        <v>144</v>
      </c>
      <c r="E144" s="8">
        <f>1380.5</f>
        <v>1380.5</v>
      </c>
      <c r="F144" s="5" t="s">
        <v>9</v>
      </c>
      <c r="G144" s="2" t="s">
        <v>20</v>
      </c>
    </row>
    <row r="145" spans="1:7" x14ac:dyDescent="0.25">
      <c r="A145" s="11">
        <v>128</v>
      </c>
      <c r="B145" s="5" t="s">
        <v>858</v>
      </c>
      <c r="C145" s="11">
        <v>7882320813</v>
      </c>
      <c r="D145" s="5" t="s">
        <v>859</v>
      </c>
      <c r="E145" s="8">
        <v>1250.83</v>
      </c>
      <c r="F145" s="5" t="s">
        <v>9</v>
      </c>
      <c r="G145" s="2" t="s">
        <v>187</v>
      </c>
    </row>
    <row r="146" spans="1:7" x14ac:dyDescent="0.25">
      <c r="A146" s="11">
        <v>129</v>
      </c>
      <c r="B146" s="5" t="s">
        <v>763</v>
      </c>
      <c r="C146" s="11">
        <v>56822948795</v>
      </c>
      <c r="D146" s="5" t="s">
        <v>764</v>
      </c>
      <c r="E146" s="8">
        <v>53.75</v>
      </c>
      <c r="F146" s="5" t="s">
        <v>9</v>
      </c>
      <c r="G146" s="2" t="s">
        <v>256</v>
      </c>
    </row>
    <row r="147" spans="1:7" x14ac:dyDescent="0.25">
      <c r="A147" s="11">
        <v>130</v>
      </c>
      <c r="B147" s="5" t="s">
        <v>372</v>
      </c>
      <c r="C147" s="11">
        <v>42525184727</v>
      </c>
      <c r="D147" s="5" t="s">
        <v>129</v>
      </c>
      <c r="E147" s="8">
        <v>168</v>
      </c>
      <c r="F147" s="5" t="s">
        <v>9</v>
      </c>
      <c r="G147" s="2" t="s">
        <v>95</v>
      </c>
    </row>
    <row r="148" spans="1:7" x14ac:dyDescent="0.25">
      <c r="A148" s="11">
        <v>131</v>
      </c>
      <c r="B148" s="5" t="s">
        <v>669</v>
      </c>
      <c r="C148" s="11">
        <v>89027343720</v>
      </c>
      <c r="D148" s="5" t="s">
        <v>670</v>
      </c>
      <c r="E148" s="8">
        <f>7.5+1371.25</f>
        <v>1378.75</v>
      </c>
      <c r="F148" s="5" t="s">
        <v>9</v>
      </c>
      <c r="G148" s="2" t="s">
        <v>20</v>
      </c>
    </row>
    <row r="149" spans="1:7" x14ac:dyDescent="0.25">
      <c r="A149" s="11">
        <v>132</v>
      </c>
      <c r="B149" s="5" t="s">
        <v>347</v>
      </c>
      <c r="C149" s="11">
        <v>61373622132</v>
      </c>
      <c r="D149" s="5" t="s">
        <v>348</v>
      </c>
      <c r="E149" s="8">
        <f>113.38+38.75</f>
        <v>152.13</v>
      </c>
      <c r="F149" s="5" t="s">
        <v>9</v>
      </c>
      <c r="G149" s="2" t="s">
        <v>20</v>
      </c>
    </row>
    <row r="150" spans="1:7" x14ac:dyDescent="0.25">
      <c r="A150" s="11">
        <v>133</v>
      </c>
      <c r="B150" s="5" t="s">
        <v>232</v>
      </c>
      <c r="C150" s="11">
        <v>85828625994</v>
      </c>
      <c r="D150" s="5" t="s">
        <v>233</v>
      </c>
      <c r="E150" s="8">
        <f>1118.22+2.41</f>
        <v>1120.6300000000001</v>
      </c>
      <c r="F150" s="5" t="s">
        <v>9</v>
      </c>
      <c r="G150" s="2" t="s">
        <v>228</v>
      </c>
    </row>
    <row r="151" spans="1:7" x14ac:dyDescent="0.25">
      <c r="A151" s="11">
        <v>134</v>
      </c>
      <c r="B151" s="5" t="s">
        <v>860</v>
      </c>
      <c r="C151" s="11">
        <v>11711059133</v>
      </c>
      <c r="D151" s="5" t="s">
        <v>861</v>
      </c>
      <c r="E151" s="8">
        <f>416</f>
        <v>416</v>
      </c>
      <c r="F151" s="5" t="s">
        <v>9</v>
      </c>
      <c r="G151" s="2" t="s">
        <v>20</v>
      </c>
    </row>
    <row r="152" spans="1:7" x14ac:dyDescent="0.25">
      <c r="A152" s="11">
        <v>135</v>
      </c>
      <c r="B152" s="19" t="s">
        <v>363</v>
      </c>
      <c r="C152" s="30">
        <v>78131970792</v>
      </c>
      <c r="D152" s="19" t="s">
        <v>364</v>
      </c>
      <c r="E152" s="15">
        <f>187.5+437.5+487.5+200</f>
        <v>1312.5</v>
      </c>
      <c r="F152" s="19" t="s">
        <v>9</v>
      </c>
      <c r="G152" s="25" t="s">
        <v>131</v>
      </c>
    </row>
    <row r="153" spans="1:7" x14ac:dyDescent="0.25">
      <c r="A153" s="11">
        <v>136</v>
      </c>
      <c r="B153" s="5" t="s">
        <v>654</v>
      </c>
      <c r="C153" s="11">
        <v>31174430130</v>
      </c>
      <c r="D153" s="5" t="s">
        <v>655</v>
      </c>
      <c r="E153" s="8">
        <f>291.74+384.49</f>
        <v>676.23</v>
      </c>
      <c r="F153" s="5" t="s">
        <v>9</v>
      </c>
      <c r="G153" s="2" t="s">
        <v>70</v>
      </c>
    </row>
    <row r="154" spans="1:7" x14ac:dyDescent="0.25">
      <c r="A154" s="11">
        <v>137</v>
      </c>
      <c r="B154" s="19" t="s">
        <v>697</v>
      </c>
      <c r="C154" s="30">
        <v>14273924910</v>
      </c>
      <c r="D154" s="19" t="s">
        <v>698</v>
      </c>
      <c r="E154" s="15">
        <v>483.75</v>
      </c>
      <c r="F154" s="19" t="s">
        <v>9</v>
      </c>
      <c r="G154" s="25" t="s">
        <v>96</v>
      </c>
    </row>
    <row r="155" spans="1:7" x14ac:dyDescent="0.25">
      <c r="A155" s="11">
        <v>138</v>
      </c>
      <c r="B155" s="5" t="s">
        <v>483</v>
      </c>
      <c r="C155" s="11">
        <v>68419124305</v>
      </c>
      <c r="D155" s="5" t="s">
        <v>484</v>
      </c>
      <c r="E155" s="8">
        <f>2*106.2</f>
        <v>212.4</v>
      </c>
      <c r="F155" s="5" t="s">
        <v>9</v>
      </c>
      <c r="G155" s="2" t="s">
        <v>485</v>
      </c>
    </row>
    <row r="156" spans="1:7" x14ac:dyDescent="0.25">
      <c r="A156" s="11">
        <v>139</v>
      </c>
      <c r="B156" s="5" t="s">
        <v>497</v>
      </c>
      <c r="C156" s="12" t="s">
        <v>498</v>
      </c>
      <c r="D156" s="5" t="s">
        <v>499</v>
      </c>
      <c r="E156" s="8">
        <f>204.63+435.56</f>
        <v>640.19000000000005</v>
      </c>
      <c r="F156" s="5" t="s">
        <v>9</v>
      </c>
      <c r="G156" s="2" t="s">
        <v>70</v>
      </c>
    </row>
    <row r="157" spans="1:7" x14ac:dyDescent="0.25">
      <c r="A157" s="11">
        <v>140</v>
      </c>
      <c r="B157" s="5" t="s">
        <v>523</v>
      </c>
      <c r="C157" s="11">
        <v>99080771351</v>
      </c>
      <c r="D157" s="5" t="s">
        <v>862</v>
      </c>
      <c r="E157" s="8">
        <f>42.06</f>
        <v>42.06</v>
      </c>
      <c r="F157" s="5" t="s">
        <v>9</v>
      </c>
      <c r="G157" s="2" t="s">
        <v>20</v>
      </c>
    </row>
    <row r="158" spans="1:7" x14ac:dyDescent="0.25">
      <c r="A158" s="11">
        <v>141</v>
      </c>
      <c r="B158" s="5" t="s">
        <v>680</v>
      </c>
      <c r="C158" s="11">
        <v>10235187780</v>
      </c>
      <c r="D158" s="5" t="s">
        <v>681</v>
      </c>
      <c r="E158" s="8">
        <f>2*324.78</f>
        <v>649.55999999999995</v>
      </c>
      <c r="F158" s="5" t="s">
        <v>9</v>
      </c>
      <c r="G158" s="2" t="s">
        <v>682</v>
      </c>
    </row>
    <row r="159" spans="1:7" x14ac:dyDescent="0.25">
      <c r="A159" s="11">
        <v>142</v>
      </c>
      <c r="B159" s="5" t="s">
        <v>566</v>
      </c>
      <c r="C159" s="11">
        <v>46289034988</v>
      </c>
      <c r="D159" s="5" t="s">
        <v>567</v>
      </c>
      <c r="E159" s="8">
        <f>162.5+174.38+162.5+392.3+585.28</f>
        <v>1476.96</v>
      </c>
      <c r="F159" s="5" t="s">
        <v>9</v>
      </c>
      <c r="G159" s="2" t="s">
        <v>568</v>
      </c>
    </row>
    <row r="160" spans="1:7" x14ac:dyDescent="0.25">
      <c r="A160" s="11">
        <v>143</v>
      </c>
      <c r="B160" s="5" t="s">
        <v>503</v>
      </c>
      <c r="C160" s="11">
        <v>82510351433</v>
      </c>
      <c r="D160" s="5" t="s">
        <v>504</v>
      </c>
      <c r="E160" s="8">
        <f>26.33</f>
        <v>26.33</v>
      </c>
      <c r="F160" s="5" t="s">
        <v>9</v>
      </c>
      <c r="G160" s="2" t="s">
        <v>20</v>
      </c>
    </row>
    <row r="161" spans="1:7" x14ac:dyDescent="0.25">
      <c r="A161" s="11">
        <v>144</v>
      </c>
      <c r="B161" s="5" t="s">
        <v>765</v>
      </c>
      <c r="C161" s="11">
        <v>47530485643</v>
      </c>
      <c r="D161" s="5" t="s">
        <v>766</v>
      </c>
      <c r="E161" s="8">
        <f>622.5+811.25+335+425</f>
        <v>2193.75</v>
      </c>
      <c r="F161" s="5" t="s">
        <v>9</v>
      </c>
      <c r="G161" s="2" t="s">
        <v>20</v>
      </c>
    </row>
    <row r="162" spans="1:7" x14ac:dyDescent="0.25">
      <c r="A162" s="11">
        <v>145</v>
      </c>
      <c r="B162" s="5" t="s">
        <v>416</v>
      </c>
      <c r="C162" s="12" t="s">
        <v>385</v>
      </c>
      <c r="D162" s="5" t="s">
        <v>417</v>
      </c>
      <c r="E162" s="8">
        <v>1955.8</v>
      </c>
      <c r="F162" s="5" t="s">
        <v>9</v>
      </c>
      <c r="G162" s="2" t="s">
        <v>20</v>
      </c>
    </row>
    <row r="163" spans="1:7" x14ac:dyDescent="0.25">
      <c r="A163" s="11">
        <v>146</v>
      </c>
      <c r="B163" s="5" t="s">
        <v>301</v>
      </c>
      <c r="C163" s="11">
        <v>85821130368</v>
      </c>
      <c r="D163" s="5" t="s">
        <v>302</v>
      </c>
      <c r="E163" s="8">
        <f>81.3+81.3</f>
        <v>162.6</v>
      </c>
      <c r="F163" s="5" t="s">
        <v>9</v>
      </c>
      <c r="G163" s="2" t="s">
        <v>96</v>
      </c>
    </row>
    <row r="164" spans="1:7" x14ac:dyDescent="0.25">
      <c r="A164" s="11">
        <v>147</v>
      </c>
      <c r="B164" s="5" t="s">
        <v>767</v>
      </c>
      <c r="C164" s="12" t="s">
        <v>768</v>
      </c>
      <c r="D164" s="5" t="s">
        <v>769</v>
      </c>
      <c r="E164" s="8">
        <f>195+325</f>
        <v>520</v>
      </c>
      <c r="F164" s="5" t="s">
        <v>9</v>
      </c>
      <c r="G164" s="2" t="s">
        <v>305</v>
      </c>
    </row>
    <row r="165" spans="1:7" x14ac:dyDescent="0.25">
      <c r="A165" s="11">
        <v>148</v>
      </c>
      <c r="B165" s="5" t="s">
        <v>105</v>
      </c>
      <c r="C165" s="11">
        <v>22694857747</v>
      </c>
      <c r="D165" s="5" t="s">
        <v>127</v>
      </c>
      <c r="E165" s="8">
        <f>264.44</f>
        <v>264.44</v>
      </c>
      <c r="F165" s="5" t="s">
        <v>9</v>
      </c>
      <c r="G165" s="2" t="s">
        <v>106</v>
      </c>
    </row>
    <row r="166" spans="1:7" x14ac:dyDescent="0.25">
      <c r="A166" s="11">
        <v>149</v>
      </c>
      <c r="B166" s="5" t="s">
        <v>349</v>
      </c>
      <c r="C166" s="11">
        <v>80805858278</v>
      </c>
      <c r="D166" s="5" t="s">
        <v>138</v>
      </c>
      <c r="E166" s="8">
        <v>47.22</v>
      </c>
      <c r="F166" s="5" t="s">
        <v>9</v>
      </c>
      <c r="G166" s="2" t="s">
        <v>43</v>
      </c>
    </row>
    <row r="167" spans="1:7" x14ac:dyDescent="0.25">
      <c r="A167" s="11">
        <v>150</v>
      </c>
      <c r="B167" s="19" t="s">
        <v>295</v>
      </c>
      <c r="C167" s="30">
        <v>11294943436</v>
      </c>
      <c r="D167" s="19" t="s">
        <v>296</v>
      </c>
      <c r="E167" s="15">
        <v>105.08</v>
      </c>
      <c r="F167" s="19" t="s">
        <v>9</v>
      </c>
      <c r="G167" s="25" t="s">
        <v>70</v>
      </c>
    </row>
    <row r="168" spans="1:7" x14ac:dyDescent="0.25">
      <c r="A168" s="11">
        <v>151</v>
      </c>
      <c r="B168" s="36" t="s">
        <v>339</v>
      </c>
      <c r="C168" s="37">
        <v>66402309304</v>
      </c>
      <c r="D168" s="36" t="s">
        <v>340</v>
      </c>
      <c r="E168" s="8">
        <f>12862.5</f>
        <v>12862.5</v>
      </c>
      <c r="F168" s="5" t="s">
        <v>9</v>
      </c>
      <c r="G168" s="2" t="s">
        <v>20</v>
      </c>
    </row>
    <row r="169" spans="1:7" x14ac:dyDescent="0.25">
      <c r="A169" s="11">
        <v>152</v>
      </c>
      <c r="B169" s="5" t="s">
        <v>234</v>
      </c>
      <c r="C169" s="11">
        <v>64008199572</v>
      </c>
      <c r="D169" s="5" t="s">
        <v>235</v>
      </c>
      <c r="E169" s="8">
        <f>78.19+100.55</f>
        <v>178.74</v>
      </c>
      <c r="F169" s="5" t="s">
        <v>9</v>
      </c>
      <c r="G169" s="2" t="s">
        <v>20</v>
      </c>
    </row>
    <row r="170" spans="1:7" x14ac:dyDescent="0.25">
      <c r="A170" s="11">
        <v>153</v>
      </c>
      <c r="B170" s="19" t="s">
        <v>602</v>
      </c>
      <c r="C170" s="30">
        <v>89102192044</v>
      </c>
      <c r="D170" s="19" t="s">
        <v>603</v>
      </c>
      <c r="E170" s="15">
        <v>280</v>
      </c>
      <c r="F170" s="19" t="s">
        <v>9</v>
      </c>
      <c r="G170" s="25" t="s">
        <v>243</v>
      </c>
    </row>
    <row r="171" spans="1:7" x14ac:dyDescent="0.25">
      <c r="A171" s="11">
        <v>154</v>
      </c>
      <c r="B171" s="5" t="s">
        <v>770</v>
      </c>
      <c r="C171" s="11">
        <v>77022388360</v>
      </c>
      <c r="D171" s="5" t="s">
        <v>771</v>
      </c>
      <c r="E171" s="8">
        <f>45.3</f>
        <v>45.3</v>
      </c>
      <c r="F171" s="5" t="s">
        <v>9</v>
      </c>
      <c r="G171" s="2" t="s">
        <v>20</v>
      </c>
    </row>
    <row r="172" spans="1:7" x14ac:dyDescent="0.25">
      <c r="A172" s="11">
        <v>155</v>
      </c>
      <c r="B172" s="5" t="s">
        <v>392</v>
      </c>
      <c r="C172" s="12">
        <v>71116385993</v>
      </c>
      <c r="D172" s="5" t="s">
        <v>393</v>
      </c>
      <c r="E172" s="8">
        <f>200.1</f>
        <v>200.1</v>
      </c>
      <c r="F172" s="5" t="s">
        <v>9</v>
      </c>
      <c r="G172" s="2" t="s">
        <v>20</v>
      </c>
    </row>
    <row r="173" spans="1:7" x14ac:dyDescent="0.25">
      <c r="A173" s="11">
        <v>156</v>
      </c>
      <c r="B173" s="5" t="s">
        <v>863</v>
      </c>
      <c r="C173" s="12">
        <v>42572807012</v>
      </c>
      <c r="D173" s="5" t="s">
        <v>864</v>
      </c>
      <c r="E173" s="8">
        <v>507.5</v>
      </c>
      <c r="F173" s="5" t="s">
        <v>9</v>
      </c>
      <c r="G173" s="2" t="s">
        <v>147</v>
      </c>
    </row>
    <row r="174" spans="1:7" x14ac:dyDescent="0.25">
      <c r="A174" s="11">
        <v>157</v>
      </c>
      <c r="B174" s="5" t="s">
        <v>772</v>
      </c>
      <c r="C174" s="11">
        <v>29035933600</v>
      </c>
      <c r="D174" s="5" t="s">
        <v>227</v>
      </c>
      <c r="E174" s="8">
        <f>13369.18+27093.02</f>
        <v>40462.199999999997</v>
      </c>
      <c r="F174" s="5" t="s">
        <v>9</v>
      </c>
      <c r="G174" s="2" t="s">
        <v>140</v>
      </c>
    </row>
    <row r="175" spans="1:7" x14ac:dyDescent="0.25">
      <c r="A175" s="11">
        <v>158</v>
      </c>
      <c r="B175" s="5" t="s">
        <v>413</v>
      </c>
      <c r="C175" s="11">
        <v>74867487620</v>
      </c>
      <c r="D175" s="5" t="s">
        <v>168</v>
      </c>
      <c r="E175" s="8">
        <f>1719.25+177.86+640.81+729.75</f>
        <v>3267.67</v>
      </c>
      <c r="F175" s="5" t="s">
        <v>9</v>
      </c>
      <c r="G175" s="2" t="s">
        <v>20</v>
      </c>
    </row>
    <row r="176" spans="1:7" x14ac:dyDescent="0.25">
      <c r="A176" s="11">
        <v>159</v>
      </c>
      <c r="B176" s="5" t="s">
        <v>90</v>
      </c>
      <c r="C176" s="11">
        <v>58353015102</v>
      </c>
      <c r="D176" s="5" t="s">
        <v>116</v>
      </c>
      <c r="E176" s="8">
        <f>151.38</f>
        <v>151.38</v>
      </c>
      <c r="F176" s="5" t="s">
        <v>9</v>
      </c>
      <c r="G176" s="2" t="s">
        <v>20</v>
      </c>
    </row>
    <row r="177" spans="1:7" x14ac:dyDescent="0.25">
      <c r="A177" s="11">
        <v>160</v>
      </c>
      <c r="B177" s="21" t="s">
        <v>92</v>
      </c>
      <c r="C177" s="22">
        <v>87682591133</v>
      </c>
      <c r="D177" s="21" t="s">
        <v>118</v>
      </c>
      <c r="E177" s="15">
        <f>5317.31</f>
        <v>5317.31</v>
      </c>
      <c r="F177" s="21" t="s">
        <v>9</v>
      </c>
      <c r="G177" s="2" t="s">
        <v>20</v>
      </c>
    </row>
    <row r="178" spans="1:7" x14ac:dyDescent="0.25">
      <c r="A178" s="11">
        <v>161</v>
      </c>
      <c r="B178" s="5" t="s">
        <v>93</v>
      </c>
      <c r="C178" s="11">
        <v>19849957757</v>
      </c>
      <c r="D178" s="5" t="s">
        <v>120</v>
      </c>
      <c r="E178" s="8">
        <f>5780+6878.03+186.56+273.4+1116.16</f>
        <v>14234.149999999998</v>
      </c>
      <c r="F178" s="5" t="s">
        <v>9</v>
      </c>
      <c r="G178" s="29" t="s">
        <v>20</v>
      </c>
    </row>
    <row r="179" spans="1:7" x14ac:dyDescent="0.25">
      <c r="A179" s="11">
        <v>162</v>
      </c>
      <c r="B179" s="5" t="s">
        <v>94</v>
      </c>
      <c r="C179" s="11">
        <v>52233171260</v>
      </c>
      <c r="D179" s="5" t="s">
        <v>119</v>
      </c>
      <c r="E179" s="8">
        <f>7634.5</f>
        <v>7634.5</v>
      </c>
      <c r="F179" s="5" t="s">
        <v>9</v>
      </c>
      <c r="G179" s="2" t="s">
        <v>20</v>
      </c>
    </row>
    <row r="180" spans="1:7" x14ac:dyDescent="0.25">
      <c r="A180" s="11">
        <v>163</v>
      </c>
      <c r="B180" s="5" t="s">
        <v>632</v>
      </c>
      <c r="C180" s="11">
        <v>79517545745</v>
      </c>
      <c r="D180" s="5" t="s">
        <v>633</v>
      </c>
      <c r="E180" s="8">
        <v>71</v>
      </c>
      <c r="F180" s="5" t="s">
        <v>9</v>
      </c>
      <c r="G180" s="2" t="s">
        <v>96</v>
      </c>
    </row>
    <row r="181" spans="1:7" x14ac:dyDescent="0.25">
      <c r="A181" s="11">
        <v>164</v>
      </c>
      <c r="B181" s="5" t="s">
        <v>15</v>
      </c>
      <c r="C181" s="11" t="s">
        <v>15</v>
      </c>
      <c r="D181" s="5" t="s">
        <v>15</v>
      </c>
      <c r="E181" s="8">
        <f>6028.19+3775.87+6358.88+6153.01</f>
        <v>22315.949999999997</v>
      </c>
      <c r="F181" s="5" t="s">
        <v>9</v>
      </c>
      <c r="G181" s="2" t="s">
        <v>97</v>
      </c>
    </row>
    <row r="182" spans="1:7" x14ac:dyDescent="0.25">
      <c r="A182" s="11">
        <v>165</v>
      </c>
      <c r="B182" s="19" t="s">
        <v>15</v>
      </c>
      <c r="C182" s="30" t="s">
        <v>15</v>
      </c>
      <c r="D182" s="19" t="s">
        <v>15</v>
      </c>
      <c r="E182" s="15">
        <v>3656.6</v>
      </c>
      <c r="F182" s="19" t="s">
        <v>9</v>
      </c>
      <c r="G182" s="25" t="s">
        <v>98</v>
      </c>
    </row>
    <row r="183" spans="1:7" x14ac:dyDescent="0.25">
      <c r="A183" s="11">
        <v>166</v>
      </c>
      <c r="B183" s="36" t="s">
        <v>261</v>
      </c>
      <c r="C183" s="37">
        <v>79378753915</v>
      </c>
      <c r="D183" s="36" t="s">
        <v>262</v>
      </c>
      <c r="E183" s="8">
        <f>828.75+778.38</f>
        <v>1607.13</v>
      </c>
      <c r="F183" s="5" t="s">
        <v>9</v>
      </c>
      <c r="G183" s="2" t="s">
        <v>20</v>
      </c>
    </row>
    <row r="184" spans="1:7" x14ac:dyDescent="0.25">
      <c r="A184" s="11">
        <v>167</v>
      </c>
      <c r="B184" s="5" t="s">
        <v>636</v>
      </c>
      <c r="C184" s="12" t="s">
        <v>637</v>
      </c>
      <c r="D184" s="5" t="s">
        <v>638</v>
      </c>
      <c r="E184" s="8">
        <f>848.56+714.86</f>
        <v>1563.42</v>
      </c>
      <c r="F184" s="5" t="s">
        <v>9</v>
      </c>
      <c r="G184" s="2" t="s">
        <v>20</v>
      </c>
    </row>
    <row r="185" spans="1:7" x14ac:dyDescent="0.25">
      <c r="A185" s="11">
        <v>168</v>
      </c>
      <c r="B185" s="5" t="s">
        <v>773</v>
      </c>
      <c r="C185" s="11" t="s">
        <v>774</v>
      </c>
      <c r="D185" s="5" t="s">
        <v>775</v>
      </c>
      <c r="E185" s="8">
        <f>22.1+22.65</f>
        <v>44.75</v>
      </c>
      <c r="F185" s="5" t="s">
        <v>9</v>
      </c>
      <c r="G185" s="2" t="s">
        <v>20</v>
      </c>
    </row>
    <row r="186" spans="1:7" x14ac:dyDescent="0.25">
      <c r="A186" s="11">
        <v>169</v>
      </c>
      <c r="B186" s="5" t="s">
        <v>359</v>
      </c>
      <c r="C186" s="11">
        <v>98164456048</v>
      </c>
      <c r="D186" s="5" t="s">
        <v>360</v>
      </c>
      <c r="E186" s="8">
        <v>1624.95</v>
      </c>
      <c r="F186" s="5" t="s">
        <v>9</v>
      </c>
      <c r="G186" s="2" t="s">
        <v>104</v>
      </c>
    </row>
    <row r="187" spans="1:7" x14ac:dyDescent="0.25">
      <c r="A187" s="11">
        <v>170</v>
      </c>
      <c r="B187" s="5" t="s">
        <v>271</v>
      </c>
      <c r="C187" s="11">
        <v>64691033428</v>
      </c>
      <c r="D187" s="5" t="s">
        <v>278</v>
      </c>
      <c r="E187" s="15">
        <f>2139.9</f>
        <v>2139.9</v>
      </c>
      <c r="F187" s="19" t="s">
        <v>9</v>
      </c>
      <c r="G187" s="25" t="s">
        <v>20</v>
      </c>
    </row>
    <row r="188" spans="1:7" x14ac:dyDescent="0.25">
      <c r="A188" s="11">
        <v>171</v>
      </c>
      <c r="B188" s="5" t="s">
        <v>865</v>
      </c>
      <c r="C188" s="11" t="s">
        <v>866</v>
      </c>
      <c r="D188" s="5" t="s">
        <v>867</v>
      </c>
      <c r="E188" s="15">
        <f>3027</f>
        <v>3027</v>
      </c>
      <c r="F188" s="19" t="s">
        <v>9</v>
      </c>
      <c r="G188" s="25" t="s">
        <v>20</v>
      </c>
    </row>
    <row r="189" spans="1:7" x14ac:dyDescent="0.25">
      <c r="A189" s="11">
        <v>172</v>
      </c>
      <c r="B189" s="21" t="s">
        <v>107</v>
      </c>
      <c r="C189" s="22">
        <v>34421776805</v>
      </c>
      <c r="D189" s="21" t="s">
        <v>128</v>
      </c>
      <c r="E189" s="8">
        <f>186.53+340.4+892.43</f>
        <v>1419.36</v>
      </c>
      <c r="F189" s="36" t="s">
        <v>9</v>
      </c>
      <c r="G189" s="2" t="s">
        <v>108</v>
      </c>
    </row>
    <row r="190" spans="1:7" x14ac:dyDescent="0.25">
      <c r="A190" s="11">
        <v>173</v>
      </c>
      <c r="B190" s="5" t="s">
        <v>15</v>
      </c>
      <c r="C190" s="11" t="s">
        <v>15</v>
      </c>
      <c r="D190" s="5" t="s">
        <v>15</v>
      </c>
      <c r="E190" s="17">
        <v>144.72</v>
      </c>
      <c r="F190" s="28" t="s">
        <v>9</v>
      </c>
      <c r="G190" s="29" t="s">
        <v>282</v>
      </c>
    </row>
    <row r="191" spans="1:7" x14ac:dyDescent="0.25">
      <c r="A191" s="11">
        <v>174</v>
      </c>
      <c r="B191" s="5" t="s">
        <v>15</v>
      </c>
      <c r="C191" s="11" t="s">
        <v>15</v>
      </c>
      <c r="D191" s="5" t="s">
        <v>15</v>
      </c>
      <c r="E191" s="8">
        <v>410.22</v>
      </c>
      <c r="F191" s="5" t="s">
        <v>9</v>
      </c>
      <c r="G191" s="2" t="s">
        <v>109</v>
      </c>
    </row>
    <row r="192" spans="1:7" ht="15.75" thickBot="1" x14ac:dyDescent="0.3">
      <c r="A192" s="11">
        <v>175</v>
      </c>
      <c r="B192" s="5" t="s">
        <v>130</v>
      </c>
      <c r="C192" s="11">
        <v>49800593791</v>
      </c>
      <c r="D192" s="5" t="s">
        <v>132</v>
      </c>
      <c r="E192" s="8">
        <f>514.39+753.81+81.81</f>
        <v>1350.0099999999998</v>
      </c>
      <c r="F192" s="5" t="s">
        <v>9</v>
      </c>
      <c r="G192" s="2" t="s">
        <v>405</v>
      </c>
    </row>
    <row r="193" spans="1:7" x14ac:dyDescent="0.25">
      <c r="A193" s="65">
        <v>176</v>
      </c>
      <c r="B193" s="67" t="s">
        <v>133</v>
      </c>
      <c r="C193" s="65">
        <v>47428597158</v>
      </c>
      <c r="D193" s="67" t="s">
        <v>135</v>
      </c>
      <c r="E193" s="16">
        <f>3050+991.69+3050</f>
        <v>7091.6900000000005</v>
      </c>
      <c r="F193" s="67" t="s">
        <v>9</v>
      </c>
      <c r="G193" s="26" t="s">
        <v>20</v>
      </c>
    </row>
    <row r="194" spans="1:7" ht="15.75" thickBot="1" x14ac:dyDescent="0.3">
      <c r="A194" s="66"/>
      <c r="B194" s="68"/>
      <c r="C194" s="66"/>
      <c r="D194" s="68"/>
      <c r="E194" s="18">
        <f>1808.44+3808.53</f>
        <v>5616.97</v>
      </c>
      <c r="F194" s="68"/>
      <c r="G194" s="27" t="s">
        <v>643</v>
      </c>
    </row>
    <row r="195" spans="1:7" x14ac:dyDescent="0.25">
      <c r="A195" s="31">
        <v>177</v>
      </c>
      <c r="B195" s="5" t="s">
        <v>242</v>
      </c>
      <c r="C195" s="11">
        <v>69857578031</v>
      </c>
      <c r="D195" s="5" t="s">
        <v>244</v>
      </c>
      <c r="E195" s="17">
        <f>448.31</f>
        <v>448.31</v>
      </c>
      <c r="F195" s="28" t="s">
        <v>9</v>
      </c>
      <c r="G195" s="29" t="s">
        <v>243</v>
      </c>
    </row>
    <row r="196" spans="1:7" x14ac:dyDescent="0.25">
      <c r="A196" s="11">
        <v>178</v>
      </c>
      <c r="B196" s="5" t="s">
        <v>137</v>
      </c>
      <c r="C196" s="12" t="s">
        <v>139</v>
      </c>
      <c r="D196" s="5" t="s">
        <v>138</v>
      </c>
      <c r="E196" s="8">
        <v>380.66</v>
      </c>
      <c r="F196" s="5" t="s">
        <v>9</v>
      </c>
      <c r="G196" s="2" t="s">
        <v>70</v>
      </c>
    </row>
    <row r="197" spans="1:7" x14ac:dyDescent="0.25">
      <c r="A197" s="11">
        <v>179</v>
      </c>
      <c r="B197" s="5" t="s">
        <v>265</v>
      </c>
      <c r="C197" s="11">
        <v>32371574171</v>
      </c>
      <c r="D197" s="5" t="s">
        <v>266</v>
      </c>
      <c r="E197" s="8">
        <f>375+625</f>
        <v>1000</v>
      </c>
      <c r="F197" s="5" t="s">
        <v>9</v>
      </c>
      <c r="G197" s="2" t="s">
        <v>131</v>
      </c>
    </row>
    <row r="198" spans="1:7" x14ac:dyDescent="0.25">
      <c r="A198" s="11">
        <v>180</v>
      </c>
      <c r="B198" s="5" t="s">
        <v>141</v>
      </c>
      <c r="C198" s="11">
        <v>63988426425</v>
      </c>
      <c r="D198" s="5" t="s">
        <v>142</v>
      </c>
      <c r="E198" s="8">
        <f>7846.38+5606.69+374+5945+93.5</f>
        <v>19865.57</v>
      </c>
      <c r="F198" s="5" t="s">
        <v>9</v>
      </c>
      <c r="G198" s="2" t="s">
        <v>20</v>
      </c>
    </row>
    <row r="199" spans="1:7" x14ac:dyDescent="0.25">
      <c r="A199" s="11">
        <v>181</v>
      </c>
      <c r="B199" s="5" t="s">
        <v>61</v>
      </c>
      <c r="C199" s="11">
        <v>981494061</v>
      </c>
      <c r="D199" s="5" t="s">
        <v>62</v>
      </c>
      <c r="E199" s="8">
        <f>1200.27</f>
        <v>1200.27</v>
      </c>
      <c r="F199" s="5" t="s">
        <v>9</v>
      </c>
      <c r="G199" s="2" t="s">
        <v>41</v>
      </c>
    </row>
    <row r="200" spans="1:7" x14ac:dyDescent="0.25">
      <c r="A200" s="11">
        <v>182</v>
      </c>
      <c r="B200" s="19" t="s">
        <v>103</v>
      </c>
      <c r="C200" s="30">
        <v>80051835685</v>
      </c>
      <c r="D200" s="19" t="s">
        <v>126</v>
      </c>
      <c r="E200" s="15">
        <v>7416.35</v>
      </c>
      <c r="F200" s="19" t="s">
        <v>9</v>
      </c>
      <c r="G200" s="25" t="s">
        <v>20</v>
      </c>
    </row>
    <row r="201" spans="1:7" x14ac:dyDescent="0.25">
      <c r="A201" s="11">
        <v>183</v>
      </c>
      <c r="B201" s="36" t="s">
        <v>151</v>
      </c>
      <c r="C201" s="37">
        <v>65952859647</v>
      </c>
      <c r="D201" s="36" t="s">
        <v>152</v>
      </c>
      <c r="E201" s="8">
        <f>15000+12000+10730+3000</f>
        <v>40730</v>
      </c>
      <c r="F201" s="36" t="s">
        <v>9</v>
      </c>
      <c r="G201" s="2" t="s">
        <v>20</v>
      </c>
    </row>
    <row r="202" spans="1:7" x14ac:dyDescent="0.25">
      <c r="A202" s="11">
        <v>184</v>
      </c>
      <c r="B202" s="28" t="s">
        <v>153</v>
      </c>
      <c r="C202" s="31">
        <v>83416546499</v>
      </c>
      <c r="D202" s="28" t="s">
        <v>156</v>
      </c>
      <c r="E202" s="17">
        <f>37.49</f>
        <v>37.49</v>
      </c>
      <c r="F202" s="28" t="s">
        <v>9</v>
      </c>
      <c r="G202" s="29" t="s">
        <v>43</v>
      </c>
    </row>
    <row r="203" spans="1:7" x14ac:dyDescent="0.25">
      <c r="A203" s="11">
        <v>185</v>
      </c>
      <c r="B203" s="5" t="s">
        <v>15</v>
      </c>
      <c r="C203" s="11" t="s">
        <v>15</v>
      </c>
      <c r="D203" s="5" t="s">
        <v>15</v>
      </c>
      <c r="E203" s="8">
        <v>95850</v>
      </c>
      <c r="F203" s="5" t="s">
        <v>9</v>
      </c>
      <c r="G203" s="2" t="s">
        <v>776</v>
      </c>
    </row>
    <row r="204" spans="1:7" x14ac:dyDescent="0.25">
      <c r="A204" s="11">
        <v>186</v>
      </c>
      <c r="B204" s="5" t="s">
        <v>661</v>
      </c>
      <c r="C204" s="11">
        <v>60314119747</v>
      </c>
      <c r="D204" s="5" t="s">
        <v>155</v>
      </c>
      <c r="E204" s="8">
        <f>23278.66+77378.16+20000+5294.65</f>
        <v>125951.47</v>
      </c>
      <c r="F204" s="5" t="s">
        <v>9</v>
      </c>
      <c r="G204" s="2" t="s">
        <v>20</v>
      </c>
    </row>
    <row r="205" spans="1:7" x14ac:dyDescent="0.25">
      <c r="A205" s="11">
        <v>187</v>
      </c>
      <c r="B205" s="5" t="s">
        <v>157</v>
      </c>
      <c r="C205" s="11" t="s">
        <v>158</v>
      </c>
      <c r="D205" s="5" t="s">
        <v>159</v>
      </c>
      <c r="E205" s="8">
        <f>15000+3146.81+588.33+3281.96</f>
        <v>22017.100000000002</v>
      </c>
      <c r="F205" s="5" t="s">
        <v>9</v>
      </c>
      <c r="G205" s="2" t="s">
        <v>20</v>
      </c>
    </row>
    <row r="206" spans="1:7" x14ac:dyDescent="0.25">
      <c r="A206" s="11">
        <v>188</v>
      </c>
      <c r="B206" s="5" t="s">
        <v>163</v>
      </c>
      <c r="C206" s="12" t="s">
        <v>165</v>
      </c>
      <c r="D206" s="5" t="s">
        <v>164</v>
      </c>
      <c r="E206" s="8">
        <f>2000+2000</f>
        <v>4000</v>
      </c>
      <c r="F206" s="5" t="s">
        <v>9</v>
      </c>
      <c r="G206" s="2" t="s">
        <v>20</v>
      </c>
    </row>
    <row r="207" spans="1:7" x14ac:dyDescent="0.25">
      <c r="A207" s="11">
        <v>189</v>
      </c>
      <c r="B207" s="5" t="s">
        <v>166</v>
      </c>
      <c r="C207" s="11">
        <v>95243482140</v>
      </c>
      <c r="D207" s="5" t="s">
        <v>167</v>
      </c>
      <c r="E207" s="8">
        <f>86.09+126.13+284.35+205.72+18.38+638.15+436.75</f>
        <v>1795.5700000000002</v>
      </c>
      <c r="F207" s="5" t="s">
        <v>9</v>
      </c>
      <c r="G207" s="2" t="s">
        <v>20</v>
      </c>
    </row>
    <row r="208" spans="1:7" x14ac:dyDescent="0.25">
      <c r="A208" s="11">
        <v>190</v>
      </c>
      <c r="B208" s="5" t="s">
        <v>177</v>
      </c>
      <c r="C208" s="11">
        <v>22740118957</v>
      </c>
      <c r="D208" s="5" t="s">
        <v>178</v>
      </c>
      <c r="E208" s="8">
        <f>845.63+461.25+1301.06+724.5+1548.38</f>
        <v>4880.82</v>
      </c>
      <c r="F208" s="5" t="s">
        <v>9</v>
      </c>
      <c r="G208" s="2" t="s">
        <v>20</v>
      </c>
    </row>
    <row r="209" spans="1:7" x14ac:dyDescent="0.25">
      <c r="A209" s="11">
        <v>191</v>
      </c>
      <c r="B209" s="19" t="s">
        <v>369</v>
      </c>
      <c r="C209" s="35">
        <v>13278612358</v>
      </c>
      <c r="D209" s="19" t="s">
        <v>370</v>
      </c>
      <c r="E209" s="15">
        <f>93.75+237.5+162.5+100</f>
        <v>593.75</v>
      </c>
      <c r="F209" s="19" t="s">
        <v>9</v>
      </c>
      <c r="G209" s="25" t="s">
        <v>131</v>
      </c>
    </row>
    <row r="210" spans="1:7" x14ac:dyDescent="0.25">
      <c r="A210" s="11">
        <v>192</v>
      </c>
      <c r="B210" s="5" t="s">
        <v>203</v>
      </c>
      <c r="C210" s="11">
        <v>90439696130</v>
      </c>
      <c r="D210" s="5" t="s">
        <v>204</v>
      </c>
      <c r="E210" s="8">
        <f>28.14</f>
        <v>28.14</v>
      </c>
      <c r="F210" s="5" t="s">
        <v>9</v>
      </c>
      <c r="G210" s="2" t="s">
        <v>283</v>
      </c>
    </row>
    <row r="211" spans="1:7" x14ac:dyDescent="0.25">
      <c r="A211" s="11">
        <v>193</v>
      </c>
      <c r="B211" s="5" t="s">
        <v>651</v>
      </c>
      <c r="C211" s="12" t="s">
        <v>652</v>
      </c>
      <c r="D211" s="5" t="s">
        <v>653</v>
      </c>
      <c r="E211" s="8">
        <f>1000+514.5+2504.48</f>
        <v>4018.98</v>
      </c>
      <c r="F211" s="5" t="s">
        <v>9</v>
      </c>
      <c r="G211" s="2" t="s">
        <v>20</v>
      </c>
    </row>
    <row r="212" spans="1:7" x14ac:dyDescent="0.25">
      <c r="A212" s="11">
        <v>194</v>
      </c>
      <c r="B212" s="5" t="s">
        <v>100</v>
      </c>
      <c r="C212" s="11">
        <v>87311810356</v>
      </c>
      <c r="D212" s="5" t="s">
        <v>121</v>
      </c>
      <c r="E212" s="8">
        <f>357.59</f>
        <v>357.59</v>
      </c>
      <c r="F212" s="5" t="s">
        <v>9</v>
      </c>
      <c r="G212" s="2" t="s">
        <v>99</v>
      </c>
    </row>
    <row r="213" spans="1:7" x14ac:dyDescent="0.25">
      <c r="A213" s="11">
        <v>195</v>
      </c>
      <c r="B213" s="5" t="s">
        <v>361</v>
      </c>
      <c r="C213" s="11">
        <v>58421021869</v>
      </c>
      <c r="D213" s="5" t="s">
        <v>362</v>
      </c>
      <c r="E213" s="8">
        <f>2000</f>
        <v>2000</v>
      </c>
      <c r="F213" s="5" t="s">
        <v>9</v>
      </c>
      <c r="G213" s="2" t="s">
        <v>20</v>
      </c>
    </row>
    <row r="214" spans="1:7" x14ac:dyDescent="0.25">
      <c r="A214" s="11">
        <v>196</v>
      </c>
      <c r="B214" s="5" t="s">
        <v>868</v>
      </c>
      <c r="C214" s="11">
        <v>94472454976</v>
      </c>
      <c r="D214" s="5" t="s">
        <v>869</v>
      </c>
      <c r="E214" s="8">
        <v>6412.79</v>
      </c>
      <c r="F214" s="5" t="s">
        <v>9</v>
      </c>
      <c r="G214" s="2" t="s">
        <v>803</v>
      </c>
    </row>
    <row r="215" spans="1:7" x14ac:dyDescent="0.25">
      <c r="A215" s="11">
        <v>197</v>
      </c>
      <c r="B215" s="5" t="s">
        <v>475</v>
      </c>
      <c r="C215" s="11">
        <v>98138500552</v>
      </c>
      <c r="D215" s="5" t="s">
        <v>476</v>
      </c>
      <c r="E215" s="8">
        <f>1325+3000+4000+2750</f>
        <v>11075</v>
      </c>
      <c r="F215" s="5" t="s">
        <v>9</v>
      </c>
      <c r="G215" s="2" t="s">
        <v>477</v>
      </c>
    </row>
    <row r="216" spans="1:7" x14ac:dyDescent="0.25">
      <c r="A216" s="11">
        <v>198</v>
      </c>
      <c r="B216" s="5" t="s">
        <v>777</v>
      </c>
      <c r="C216" s="11">
        <v>97304721774</v>
      </c>
      <c r="D216" s="5" t="s">
        <v>778</v>
      </c>
      <c r="E216" s="8">
        <f>562.78+115.58</f>
        <v>678.36</v>
      </c>
      <c r="F216" s="5" t="s">
        <v>9</v>
      </c>
      <c r="G216" s="2" t="s">
        <v>20</v>
      </c>
    </row>
    <row r="217" spans="1:7" x14ac:dyDescent="0.25">
      <c r="A217" s="11">
        <v>199</v>
      </c>
      <c r="B217" s="5" t="s">
        <v>870</v>
      </c>
      <c r="C217" s="11">
        <v>56717147376</v>
      </c>
      <c r="D217" s="5" t="s">
        <v>871</v>
      </c>
      <c r="E217" s="8">
        <f>1122.38</f>
        <v>1122.3800000000001</v>
      </c>
      <c r="F217" s="5" t="s">
        <v>9</v>
      </c>
      <c r="G217" s="2" t="s">
        <v>20</v>
      </c>
    </row>
    <row r="218" spans="1:7" x14ac:dyDescent="0.25">
      <c r="A218" s="11">
        <v>200</v>
      </c>
      <c r="B218" s="5" t="s">
        <v>272</v>
      </c>
      <c r="C218" s="11">
        <v>54527841697</v>
      </c>
      <c r="D218" s="5" t="s">
        <v>279</v>
      </c>
      <c r="E218" s="8">
        <f>590+653.75</f>
        <v>1243.75</v>
      </c>
      <c r="F218" s="5" t="s">
        <v>9</v>
      </c>
      <c r="G218" s="2" t="s">
        <v>20</v>
      </c>
    </row>
    <row r="219" spans="1:7" x14ac:dyDescent="0.25">
      <c r="A219" s="11">
        <v>201</v>
      </c>
      <c r="B219" s="5" t="s">
        <v>779</v>
      </c>
      <c r="C219" s="11">
        <v>31190261041</v>
      </c>
      <c r="D219" s="5" t="s">
        <v>780</v>
      </c>
      <c r="E219" s="8">
        <v>123.2</v>
      </c>
      <c r="F219" s="5" t="s">
        <v>9</v>
      </c>
      <c r="G219" s="2" t="s">
        <v>20</v>
      </c>
    </row>
    <row r="220" spans="1:7" x14ac:dyDescent="0.25">
      <c r="A220" s="11">
        <v>202</v>
      </c>
      <c r="B220" s="5" t="s">
        <v>671</v>
      </c>
      <c r="C220" s="11">
        <v>57495737984</v>
      </c>
      <c r="D220" s="5" t="s">
        <v>672</v>
      </c>
      <c r="E220" s="8">
        <v>283.69</v>
      </c>
      <c r="F220" s="5" t="s">
        <v>9</v>
      </c>
      <c r="G220" s="2" t="s">
        <v>147</v>
      </c>
    </row>
    <row r="221" spans="1:7" x14ac:dyDescent="0.25">
      <c r="A221" s="11">
        <v>203</v>
      </c>
      <c r="B221" s="5" t="s">
        <v>711</v>
      </c>
      <c r="C221" s="12">
        <v>83910501982</v>
      </c>
      <c r="D221" s="5" t="s">
        <v>712</v>
      </c>
      <c r="E221" s="8">
        <f>71.06</f>
        <v>71.06</v>
      </c>
      <c r="F221" s="5" t="s">
        <v>9</v>
      </c>
      <c r="G221" s="2" t="s">
        <v>20</v>
      </c>
    </row>
    <row r="222" spans="1:7" x14ac:dyDescent="0.25">
      <c r="A222" s="11">
        <v>204</v>
      </c>
      <c r="B222" s="5" t="s">
        <v>707</v>
      </c>
      <c r="C222" s="11">
        <v>80523849112</v>
      </c>
      <c r="D222" s="5" t="s">
        <v>708</v>
      </c>
      <c r="E222" s="8">
        <v>99.1</v>
      </c>
      <c r="F222" s="5" t="s">
        <v>9</v>
      </c>
      <c r="G222" s="2" t="s">
        <v>20</v>
      </c>
    </row>
    <row r="223" spans="1:7" x14ac:dyDescent="0.25">
      <c r="A223" s="11">
        <v>205</v>
      </c>
      <c r="B223" s="5" t="s">
        <v>872</v>
      </c>
      <c r="C223" s="11">
        <v>30285469659</v>
      </c>
      <c r="D223" s="5" t="s">
        <v>873</v>
      </c>
      <c r="E223" s="8">
        <v>165.9</v>
      </c>
      <c r="F223" s="5" t="s">
        <v>9</v>
      </c>
      <c r="G223" s="2" t="s">
        <v>174</v>
      </c>
    </row>
    <row r="224" spans="1:7" x14ac:dyDescent="0.25">
      <c r="A224" s="11">
        <v>206</v>
      </c>
      <c r="B224" s="5" t="s">
        <v>606</v>
      </c>
      <c r="C224" s="11">
        <v>75989437093</v>
      </c>
      <c r="D224" s="5" t="s">
        <v>607</v>
      </c>
      <c r="E224" s="8">
        <f>378.2</f>
        <v>378.2</v>
      </c>
      <c r="F224" s="5" t="s">
        <v>9</v>
      </c>
      <c r="G224" s="2" t="s">
        <v>20</v>
      </c>
    </row>
    <row r="225" spans="1:7" x14ac:dyDescent="0.25">
      <c r="A225" s="11">
        <v>207</v>
      </c>
      <c r="B225" s="5" t="s">
        <v>169</v>
      </c>
      <c r="C225" s="11">
        <v>98656691838</v>
      </c>
      <c r="D225" s="5" t="s">
        <v>170</v>
      </c>
      <c r="E225" s="8">
        <f>2975</f>
        <v>2975</v>
      </c>
      <c r="F225" s="5" t="s">
        <v>9</v>
      </c>
      <c r="G225" s="2" t="s">
        <v>20</v>
      </c>
    </row>
    <row r="226" spans="1:7" x14ac:dyDescent="0.25">
      <c r="A226" s="11">
        <v>208</v>
      </c>
      <c r="B226" s="5" t="s">
        <v>171</v>
      </c>
      <c r="C226" s="11">
        <v>15907062900</v>
      </c>
      <c r="D226" s="5" t="s">
        <v>173</v>
      </c>
      <c r="E226" s="8">
        <v>11283.28</v>
      </c>
      <c r="F226" s="5" t="s">
        <v>9</v>
      </c>
      <c r="G226" s="2" t="s">
        <v>172</v>
      </c>
    </row>
    <row r="227" spans="1:7" x14ac:dyDescent="0.25">
      <c r="A227" s="11">
        <v>209</v>
      </c>
      <c r="B227" s="21" t="s">
        <v>186</v>
      </c>
      <c r="C227" s="22">
        <v>66181750806</v>
      </c>
      <c r="D227" s="21" t="s">
        <v>136</v>
      </c>
      <c r="E227" s="8">
        <f>341.43+1089.74</f>
        <v>1431.17</v>
      </c>
      <c r="F227" s="5" t="s">
        <v>9</v>
      </c>
      <c r="G227" s="2" t="s">
        <v>187</v>
      </c>
    </row>
    <row r="228" spans="1:7" x14ac:dyDescent="0.25">
      <c r="A228" s="11">
        <v>210</v>
      </c>
      <c r="B228" s="5" t="s">
        <v>175</v>
      </c>
      <c r="C228" s="11">
        <v>97994010225</v>
      </c>
      <c r="D228" s="5" t="s">
        <v>176</v>
      </c>
      <c r="E228" s="8">
        <f>312.08+13.44+31.88</f>
        <v>357.4</v>
      </c>
      <c r="F228" s="5" t="s">
        <v>9</v>
      </c>
      <c r="G228" s="2" t="s">
        <v>20</v>
      </c>
    </row>
    <row r="229" spans="1:7" x14ac:dyDescent="0.25">
      <c r="A229" s="11">
        <v>211</v>
      </c>
      <c r="B229" s="5" t="s">
        <v>179</v>
      </c>
      <c r="C229" s="11">
        <v>78969071801</v>
      </c>
      <c r="D229" s="5" t="s">
        <v>180</v>
      </c>
      <c r="E229" s="8">
        <f>5200+1468.75+71.5</f>
        <v>6740.25</v>
      </c>
      <c r="F229" s="5" t="s">
        <v>9</v>
      </c>
      <c r="G229" s="2" t="s">
        <v>20</v>
      </c>
    </row>
    <row r="230" spans="1:7" x14ac:dyDescent="0.25">
      <c r="A230" s="11">
        <v>212</v>
      </c>
      <c r="B230" s="5" t="s">
        <v>781</v>
      </c>
      <c r="C230" s="11">
        <v>41044313807</v>
      </c>
      <c r="D230" s="5" t="s">
        <v>782</v>
      </c>
      <c r="E230" s="15">
        <v>2006.4</v>
      </c>
      <c r="F230" s="19" t="s">
        <v>9</v>
      </c>
      <c r="G230" s="25" t="s">
        <v>55</v>
      </c>
    </row>
    <row r="231" spans="1:7" x14ac:dyDescent="0.25">
      <c r="A231" s="11">
        <v>213</v>
      </c>
      <c r="B231" s="5" t="s">
        <v>783</v>
      </c>
      <c r="C231" s="11">
        <v>87820633818</v>
      </c>
      <c r="D231" s="5" t="s">
        <v>784</v>
      </c>
      <c r="E231" s="8">
        <v>907.5</v>
      </c>
      <c r="F231" s="5" t="s">
        <v>9</v>
      </c>
      <c r="G231" s="2" t="s">
        <v>20</v>
      </c>
    </row>
    <row r="232" spans="1:7" x14ac:dyDescent="0.25">
      <c r="A232" s="11">
        <v>214</v>
      </c>
      <c r="B232" s="5" t="s">
        <v>785</v>
      </c>
      <c r="C232" s="11">
        <v>68189057981</v>
      </c>
      <c r="D232" s="5" t="s">
        <v>786</v>
      </c>
      <c r="E232" s="8">
        <v>132.75</v>
      </c>
      <c r="F232" s="5" t="s">
        <v>9</v>
      </c>
      <c r="G232" s="2" t="s">
        <v>20</v>
      </c>
    </row>
    <row r="233" spans="1:7" x14ac:dyDescent="0.25">
      <c r="A233" s="11">
        <v>215</v>
      </c>
      <c r="B233" s="5" t="s">
        <v>787</v>
      </c>
      <c r="C233" s="11">
        <v>99459456097</v>
      </c>
      <c r="D233" s="5" t="s">
        <v>788</v>
      </c>
      <c r="E233" s="8">
        <v>5045.6899999999996</v>
      </c>
      <c r="F233" s="5" t="s">
        <v>9</v>
      </c>
      <c r="G233" s="2" t="s">
        <v>581</v>
      </c>
    </row>
    <row r="234" spans="1:7" x14ac:dyDescent="0.25">
      <c r="A234" s="11">
        <v>216</v>
      </c>
      <c r="B234" s="5" t="s">
        <v>789</v>
      </c>
      <c r="C234" s="11">
        <v>20043484292</v>
      </c>
      <c r="D234" s="5" t="s">
        <v>790</v>
      </c>
      <c r="E234" s="8">
        <v>41.82</v>
      </c>
      <c r="F234" s="5" t="s">
        <v>9</v>
      </c>
      <c r="G234" s="2" t="s">
        <v>174</v>
      </c>
    </row>
    <row r="235" spans="1:7" x14ac:dyDescent="0.25">
      <c r="A235" s="11">
        <v>217</v>
      </c>
      <c r="B235" s="5" t="s">
        <v>665</v>
      </c>
      <c r="C235" s="11">
        <v>64021574271</v>
      </c>
      <c r="D235" s="5" t="s">
        <v>666</v>
      </c>
      <c r="E235" s="8">
        <f>244.27+227.21+200.46+83+103.75+138.68</f>
        <v>997.37000000000012</v>
      </c>
      <c r="F235" s="5" t="s">
        <v>9</v>
      </c>
      <c r="G235" s="2" t="s">
        <v>20</v>
      </c>
    </row>
    <row r="236" spans="1:7" x14ac:dyDescent="0.25">
      <c r="A236" s="11">
        <v>218</v>
      </c>
      <c r="B236" s="5" t="s">
        <v>188</v>
      </c>
      <c r="C236" s="11">
        <v>48249084626</v>
      </c>
      <c r="D236" s="5" t="s">
        <v>189</v>
      </c>
      <c r="E236" s="8">
        <f>124.54+76.35+307.55+596.75+520.46+498.25</f>
        <v>2123.9</v>
      </c>
      <c r="F236" s="5" t="s">
        <v>9</v>
      </c>
      <c r="G236" s="2" t="s">
        <v>20</v>
      </c>
    </row>
    <row r="237" spans="1:7" x14ac:dyDescent="0.25">
      <c r="A237" s="11">
        <v>219</v>
      </c>
      <c r="B237" s="5" t="s">
        <v>190</v>
      </c>
      <c r="C237" s="11">
        <v>26901839603</v>
      </c>
      <c r="D237" s="5" t="s">
        <v>191</v>
      </c>
      <c r="E237" s="8">
        <f>63.25+271.44+279.03+88.98+60.4+352.95+16.03</f>
        <v>1132.08</v>
      </c>
      <c r="F237" s="5" t="s">
        <v>9</v>
      </c>
      <c r="G237" s="2" t="s">
        <v>20</v>
      </c>
    </row>
    <row r="238" spans="1:7" x14ac:dyDescent="0.25">
      <c r="A238" s="11">
        <v>220</v>
      </c>
      <c r="B238" s="5" t="s">
        <v>196</v>
      </c>
      <c r="C238" s="11">
        <v>60365429880</v>
      </c>
      <c r="D238" s="5" t="s">
        <v>197</v>
      </c>
      <c r="E238" s="8">
        <f>238.73+502.93+258.5+11.79+25</f>
        <v>1036.9499999999998</v>
      </c>
      <c r="F238" s="5" t="s">
        <v>9</v>
      </c>
      <c r="G238" s="2" t="s">
        <v>20</v>
      </c>
    </row>
    <row r="239" spans="1:7" x14ac:dyDescent="0.25">
      <c r="A239" s="11">
        <v>221</v>
      </c>
      <c r="B239" s="5" t="s">
        <v>201</v>
      </c>
      <c r="C239" s="11">
        <v>37879152548</v>
      </c>
      <c r="D239" s="5" t="s">
        <v>202</v>
      </c>
      <c r="E239" s="8">
        <f>972</f>
        <v>972</v>
      </c>
      <c r="F239" s="5" t="s">
        <v>9</v>
      </c>
      <c r="G239" s="2" t="s">
        <v>20</v>
      </c>
    </row>
    <row r="240" spans="1:7" x14ac:dyDescent="0.25">
      <c r="A240" s="11">
        <v>222</v>
      </c>
      <c r="B240" s="5" t="s">
        <v>205</v>
      </c>
      <c r="C240" s="11">
        <v>39048902955</v>
      </c>
      <c r="D240" s="5" t="s">
        <v>206</v>
      </c>
      <c r="E240" s="8">
        <v>242.48</v>
      </c>
      <c r="F240" s="5" t="s">
        <v>9</v>
      </c>
      <c r="G240" s="2" t="s">
        <v>43</v>
      </c>
    </row>
    <row r="241" spans="1:7" x14ac:dyDescent="0.25">
      <c r="A241" s="11">
        <v>223</v>
      </c>
      <c r="B241" s="5" t="s">
        <v>207</v>
      </c>
      <c r="C241" s="11">
        <v>85375838060</v>
      </c>
      <c r="D241" s="5" t="s">
        <v>208</v>
      </c>
      <c r="E241" s="8">
        <f>28.55</f>
        <v>28.55</v>
      </c>
      <c r="F241" s="5" t="s">
        <v>9</v>
      </c>
      <c r="G241" s="2" t="s">
        <v>43</v>
      </c>
    </row>
    <row r="242" spans="1:7" x14ac:dyDescent="0.25">
      <c r="A242" s="11">
        <v>224</v>
      </c>
      <c r="B242" s="5" t="s">
        <v>209</v>
      </c>
      <c r="C242" s="11">
        <v>55614719992</v>
      </c>
      <c r="D242" s="5" t="s">
        <v>210</v>
      </c>
      <c r="E242" s="8">
        <f>105.23+20.45+754.3+230.45</f>
        <v>1110.43</v>
      </c>
      <c r="F242" s="5" t="s">
        <v>9</v>
      </c>
      <c r="G242" s="2" t="s">
        <v>20</v>
      </c>
    </row>
    <row r="243" spans="1:7" x14ac:dyDescent="0.25">
      <c r="A243" s="11">
        <v>225</v>
      </c>
      <c r="B243" s="5" t="s">
        <v>211</v>
      </c>
      <c r="C243" s="11">
        <v>95325472047</v>
      </c>
      <c r="D243" s="5" t="s">
        <v>212</v>
      </c>
      <c r="E243" s="8">
        <f>91.25</f>
        <v>91.25</v>
      </c>
      <c r="F243" s="5" t="s">
        <v>9</v>
      </c>
      <c r="G243" s="2" t="s">
        <v>20</v>
      </c>
    </row>
    <row r="244" spans="1:7" x14ac:dyDescent="0.25">
      <c r="A244" s="11">
        <v>226</v>
      </c>
      <c r="B244" s="5" t="s">
        <v>215</v>
      </c>
      <c r="C244" s="11">
        <v>110752628</v>
      </c>
      <c r="D244" s="5" t="s">
        <v>218</v>
      </c>
      <c r="E244" s="8">
        <f>2500+1640+604.6</f>
        <v>4744.6000000000004</v>
      </c>
      <c r="F244" s="5" t="s">
        <v>9</v>
      </c>
      <c r="G244" s="2" t="s">
        <v>20</v>
      </c>
    </row>
    <row r="245" spans="1:7" x14ac:dyDescent="0.25">
      <c r="A245" s="11">
        <v>227</v>
      </c>
      <c r="B245" s="5" t="s">
        <v>216</v>
      </c>
      <c r="C245" s="11">
        <v>85611744662</v>
      </c>
      <c r="D245" s="5" t="s">
        <v>217</v>
      </c>
      <c r="E245" s="8">
        <f>856.9+504.21</f>
        <v>1361.11</v>
      </c>
      <c r="F245" s="5" t="s">
        <v>9</v>
      </c>
      <c r="G245" s="2" t="s">
        <v>20</v>
      </c>
    </row>
    <row r="246" spans="1:7" x14ac:dyDescent="0.25">
      <c r="A246" s="11">
        <v>228</v>
      </c>
      <c r="B246" s="5" t="s">
        <v>219</v>
      </c>
      <c r="C246" s="11">
        <v>53785632625</v>
      </c>
      <c r="D246" s="5" t="s">
        <v>220</v>
      </c>
      <c r="E246" s="8">
        <f>206</f>
        <v>206</v>
      </c>
      <c r="F246" s="5" t="s">
        <v>9</v>
      </c>
      <c r="G246" s="2" t="s">
        <v>20</v>
      </c>
    </row>
    <row r="247" spans="1:7" x14ac:dyDescent="0.25">
      <c r="A247" s="11">
        <v>229</v>
      </c>
      <c r="B247" s="5" t="s">
        <v>221</v>
      </c>
      <c r="C247" s="11">
        <v>76147579166</v>
      </c>
      <c r="D247" s="5" t="s">
        <v>222</v>
      </c>
      <c r="E247" s="8">
        <f>179.35+571.83</f>
        <v>751.18000000000006</v>
      </c>
      <c r="F247" s="5" t="s">
        <v>9</v>
      </c>
      <c r="G247" s="2" t="s">
        <v>20</v>
      </c>
    </row>
    <row r="248" spans="1:7" x14ac:dyDescent="0.25">
      <c r="A248" s="11">
        <v>230</v>
      </c>
      <c r="B248" s="5" t="s">
        <v>223</v>
      </c>
      <c r="C248" s="11">
        <v>48841983787</v>
      </c>
      <c r="D248" s="5" t="s">
        <v>224</v>
      </c>
      <c r="E248" s="8">
        <f>368+1520+1841+4562.5+307.5+918.75</f>
        <v>9517.75</v>
      </c>
      <c r="F248" s="5" t="s">
        <v>9</v>
      </c>
      <c r="G248" s="2" t="s">
        <v>20</v>
      </c>
    </row>
    <row r="249" spans="1:7" x14ac:dyDescent="0.25">
      <c r="A249" s="11">
        <v>231</v>
      </c>
      <c r="B249" s="5" t="s">
        <v>87</v>
      </c>
      <c r="C249" s="11">
        <v>51645411160</v>
      </c>
      <c r="D249" s="5" t="s">
        <v>114</v>
      </c>
      <c r="E249" s="8">
        <f>9.16+31.5</f>
        <v>40.659999999999997</v>
      </c>
      <c r="F249" s="5" t="s">
        <v>9</v>
      </c>
      <c r="G249" s="2" t="s">
        <v>20</v>
      </c>
    </row>
    <row r="250" spans="1:7" x14ac:dyDescent="0.25">
      <c r="A250" s="11">
        <v>232</v>
      </c>
      <c r="B250" s="5" t="s">
        <v>229</v>
      </c>
      <c r="C250" s="11" t="s">
        <v>230</v>
      </c>
      <c r="D250" s="5" t="s">
        <v>231</v>
      </c>
      <c r="E250" s="8">
        <f>2964.84+312.83</f>
        <v>3277.67</v>
      </c>
      <c r="F250" s="5" t="s">
        <v>9</v>
      </c>
      <c r="G250" s="2" t="s">
        <v>20</v>
      </c>
    </row>
    <row r="251" spans="1:7" x14ac:dyDescent="0.25">
      <c r="A251" s="11">
        <v>233</v>
      </c>
      <c r="B251" s="5" t="s">
        <v>683</v>
      </c>
      <c r="C251" s="11">
        <v>38812451417</v>
      </c>
      <c r="D251" s="5" t="s">
        <v>684</v>
      </c>
      <c r="E251" s="8">
        <f>399.54+483.04</f>
        <v>882.58</v>
      </c>
      <c r="F251" s="5" t="s">
        <v>9</v>
      </c>
      <c r="G251" s="2" t="s">
        <v>70</v>
      </c>
    </row>
    <row r="252" spans="1:7" x14ac:dyDescent="0.25">
      <c r="A252" s="11">
        <v>234</v>
      </c>
      <c r="B252" s="5" t="s">
        <v>240</v>
      </c>
      <c r="C252" s="11">
        <v>54661026138</v>
      </c>
      <c r="D252" s="5" t="s">
        <v>241</v>
      </c>
      <c r="E252" s="8">
        <f>636.75+225.35</f>
        <v>862.1</v>
      </c>
      <c r="F252" s="5" t="s">
        <v>9</v>
      </c>
      <c r="G252" s="2" t="s">
        <v>20</v>
      </c>
    </row>
    <row r="253" spans="1:7" x14ac:dyDescent="0.25">
      <c r="A253" s="11">
        <v>235</v>
      </c>
      <c r="B253" s="5" t="s">
        <v>874</v>
      </c>
      <c r="C253" s="11">
        <v>55622004611</v>
      </c>
      <c r="D253" s="5" t="s">
        <v>26</v>
      </c>
      <c r="E253" s="8">
        <v>69.75</v>
      </c>
      <c r="F253" s="5" t="s">
        <v>9</v>
      </c>
      <c r="G253" s="2" t="s">
        <v>20</v>
      </c>
    </row>
    <row r="254" spans="1:7" x14ac:dyDescent="0.25">
      <c r="A254" s="11">
        <v>236</v>
      </c>
      <c r="B254" s="5" t="s">
        <v>791</v>
      </c>
      <c r="C254" s="11">
        <v>26211106548</v>
      </c>
      <c r="D254" s="5" t="s">
        <v>686</v>
      </c>
      <c r="E254" s="8">
        <f>148.27+123.52</f>
        <v>271.79000000000002</v>
      </c>
      <c r="F254" s="5" t="s">
        <v>9</v>
      </c>
      <c r="G254" s="2" t="s">
        <v>70</v>
      </c>
    </row>
    <row r="255" spans="1:7" x14ac:dyDescent="0.25">
      <c r="A255" s="11">
        <v>237</v>
      </c>
      <c r="B255" s="5" t="s">
        <v>251</v>
      </c>
      <c r="C255" s="11">
        <v>54482179263</v>
      </c>
      <c r="D255" s="5" t="s">
        <v>252</v>
      </c>
      <c r="E255" s="8">
        <f>85.56+69.61+93.18</f>
        <v>248.35000000000002</v>
      </c>
      <c r="F255" s="5" t="s">
        <v>9</v>
      </c>
      <c r="G255" s="2" t="s">
        <v>20</v>
      </c>
    </row>
    <row r="256" spans="1:7" x14ac:dyDescent="0.25">
      <c r="A256" s="11">
        <v>238</v>
      </c>
      <c r="B256" s="5" t="s">
        <v>577</v>
      </c>
      <c r="C256" s="11">
        <v>50467974870</v>
      </c>
      <c r="D256" s="5" t="s">
        <v>578</v>
      </c>
      <c r="E256" s="8">
        <v>124.31</v>
      </c>
      <c r="F256" s="5" t="s">
        <v>9</v>
      </c>
      <c r="G256" s="2" t="s">
        <v>20</v>
      </c>
    </row>
    <row r="257" spans="1:7" x14ac:dyDescent="0.25">
      <c r="A257" s="11">
        <v>239</v>
      </c>
      <c r="B257" s="5" t="s">
        <v>253</v>
      </c>
      <c r="C257" s="11">
        <v>79506290597</v>
      </c>
      <c r="D257" s="5" t="s">
        <v>255</v>
      </c>
      <c r="E257" s="8">
        <v>93.75</v>
      </c>
      <c r="F257" s="5" t="s">
        <v>9</v>
      </c>
      <c r="G257" s="2" t="s">
        <v>254</v>
      </c>
    </row>
    <row r="258" spans="1:7" x14ac:dyDescent="0.25">
      <c r="A258" s="11">
        <v>240</v>
      </c>
      <c r="B258" s="5" t="s">
        <v>257</v>
      </c>
      <c r="C258" s="11">
        <v>94505281348</v>
      </c>
      <c r="D258" s="5" t="s">
        <v>258</v>
      </c>
      <c r="E258" s="8">
        <v>165.23</v>
      </c>
      <c r="F258" s="5" t="s">
        <v>9</v>
      </c>
      <c r="G258" s="2" t="s">
        <v>147</v>
      </c>
    </row>
    <row r="259" spans="1:7" x14ac:dyDescent="0.25">
      <c r="A259" s="11">
        <v>241</v>
      </c>
      <c r="B259" s="5" t="s">
        <v>792</v>
      </c>
      <c r="C259" s="11">
        <v>89984971143</v>
      </c>
      <c r="D259" s="5" t="s">
        <v>793</v>
      </c>
      <c r="E259" s="8">
        <f>152.63+205</f>
        <v>357.63</v>
      </c>
      <c r="F259" s="5" t="s">
        <v>9</v>
      </c>
      <c r="G259" s="2" t="s">
        <v>20</v>
      </c>
    </row>
    <row r="260" spans="1:7" x14ac:dyDescent="0.25">
      <c r="A260" s="11">
        <v>242</v>
      </c>
      <c r="B260" s="5" t="s">
        <v>306</v>
      </c>
      <c r="C260" s="11">
        <v>69927324836</v>
      </c>
      <c r="D260" s="5" t="s">
        <v>307</v>
      </c>
      <c r="E260" s="8">
        <f>428.26+46.15</f>
        <v>474.40999999999997</v>
      </c>
      <c r="F260" s="5" t="s">
        <v>9</v>
      </c>
      <c r="G260" s="2" t="s">
        <v>20</v>
      </c>
    </row>
    <row r="261" spans="1:7" ht="6.75" customHeight="1" x14ac:dyDescent="0.25">
      <c r="A261" s="11"/>
      <c r="B261" s="5"/>
      <c r="C261" s="11"/>
      <c r="D261" s="5"/>
      <c r="E261" s="8"/>
      <c r="F261" s="5"/>
      <c r="G261" s="2"/>
    </row>
    <row r="262" spans="1:7" x14ac:dyDescent="0.25">
      <c r="A262" s="10"/>
      <c r="B262" s="1"/>
      <c r="C262" s="10"/>
      <c r="D262" s="1"/>
      <c r="E262" s="13"/>
      <c r="F262" s="1"/>
      <c r="G262" s="1"/>
    </row>
    <row r="263" spans="1:7" x14ac:dyDescent="0.25">
      <c r="A263" s="10"/>
      <c r="B263" s="1"/>
      <c r="C263" s="10"/>
      <c r="D263" s="39" t="s">
        <v>794</v>
      </c>
      <c r="E263" s="60">
        <f>SUM(E11:E261)</f>
        <v>3084475.0400000005</v>
      </c>
      <c r="F263" s="1"/>
      <c r="G263" s="1"/>
    </row>
  </sheetData>
  <sheetProtection algorithmName="SHA-512" hashValue="sa76BfAN30ZHCWN8X77u4z1Fi3E/n4lXnzxFpwDpLzvl1zgGPGofuk1rWacicMf+tc5buX6i8MMItR4dnbjYsw==" saltValue="Bm5lwqpzZUJsEsBcLQQODg==" spinCount="100000" sheet="1" objects="1" scenarios="1" selectLockedCells="1" autoFilter="0" selectUnlockedCells="1"/>
  <autoFilter ref="A10:G10" xr:uid="{B5383A3F-278D-4F71-B9A2-9DA7B07C8531}"/>
  <mergeCells count="28">
    <mergeCell ref="A6:B6"/>
    <mergeCell ref="A7:B7"/>
    <mergeCell ref="C8:F8"/>
    <mergeCell ref="A28:A32"/>
    <mergeCell ref="B28:B32"/>
    <mergeCell ref="C28:C32"/>
    <mergeCell ref="D28:D32"/>
    <mergeCell ref="F28:F32"/>
    <mergeCell ref="A49:A50"/>
    <mergeCell ref="B49:B50"/>
    <mergeCell ref="C49:C50"/>
    <mergeCell ref="D49:D50"/>
    <mergeCell ref="F49:F50"/>
    <mergeCell ref="A35:A36"/>
    <mergeCell ref="B35:B36"/>
    <mergeCell ref="C35:C36"/>
    <mergeCell ref="D35:D36"/>
    <mergeCell ref="F35:F36"/>
    <mergeCell ref="A193:A194"/>
    <mergeCell ref="B193:B194"/>
    <mergeCell ref="C193:C194"/>
    <mergeCell ref="D193:D194"/>
    <mergeCell ref="F193:F194"/>
    <mergeCell ref="A141:A142"/>
    <mergeCell ref="B141:B142"/>
    <mergeCell ref="C141:C142"/>
    <mergeCell ref="D141:D142"/>
    <mergeCell ref="F141:F1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8055-3C67-4AFE-9DDC-95C404ECEAB1}">
  <dimension ref="A1:G266"/>
  <sheetViews>
    <sheetView topLeftCell="A250" workbookViewId="0">
      <selection activeCell="K19" sqref="K19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7" t="s">
        <v>7</v>
      </c>
      <c r="B6" s="77"/>
      <c r="C6" s="10"/>
      <c r="D6" s="1"/>
      <c r="E6" s="13"/>
      <c r="F6" s="1"/>
      <c r="G6" s="1"/>
    </row>
    <row r="7" spans="1:7" x14ac:dyDescent="0.25">
      <c r="A7" s="77" t="s">
        <v>8</v>
      </c>
      <c r="B7" s="77"/>
      <c r="C7" s="10"/>
      <c r="D7" s="1"/>
      <c r="E7" s="13"/>
      <c r="F7" s="1"/>
      <c r="G7" s="1"/>
    </row>
    <row r="8" spans="1:7" x14ac:dyDescent="0.25">
      <c r="A8" s="23"/>
      <c r="B8" s="6"/>
      <c r="C8" s="78" t="s">
        <v>875</v>
      </c>
      <c r="D8" s="78"/>
      <c r="E8" s="78"/>
      <c r="F8" s="78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332</v>
      </c>
      <c r="C12" s="11">
        <v>57270798205</v>
      </c>
      <c r="D12" s="5" t="s">
        <v>333</v>
      </c>
      <c r="E12" s="8">
        <f>995.5+498.56</f>
        <v>1494.06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24.21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600+3600+1200+600+600+600</f>
        <v>7200</v>
      </c>
      <c r="F14" s="5" t="s">
        <v>9</v>
      </c>
      <c r="G14" s="2" t="s">
        <v>468</v>
      </c>
    </row>
    <row r="15" spans="1:7" x14ac:dyDescent="0.25">
      <c r="A15" s="11">
        <v>5</v>
      </c>
      <c r="B15" s="5" t="s">
        <v>16</v>
      </c>
      <c r="C15" s="12" t="s">
        <v>25</v>
      </c>
      <c r="D15" s="9" t="s">
        <v>412</v>
      </c>
      <c r="E15" s="8">
        <f>8865+8940</f>
        <v>17805</v>
      </c>
      <c r="F15" s="5" t="s">
        <v>9</v>
      </c>
      <c r="G15" s="2" t="s">
        <v>17</v>
      </c>
    </row>
    <row r="16" spans="1:7" x14ac:dyDescent="0.25">
      <c r="A16" s="11">
        <v>6</v>
      </c>
      <c r="B16" s="5" t="s">
        <v>19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100</v>
      </c>
      <c r="C17" s="11">
        <v>87311810356</v>
      </c>
      <c r="D17" s="5" t="s">
        <v>121</v>
      </c>
      <c r="E17" s="8">
        <v>511.61</v>
      </c>
      <c r="F17" s="5" t="s">
        <v>9</v>
      </c>
      <c r="G17" s="2" t="s">
        <v>99</v>
      </c>
    </row>
    <row r="18" spans="1:7" x14ac:dyDescent="0.25">
      <c r="A18" s="11">
        <v>8</v>
      </c>
      <c r="B18" s="5" t="s">
        <v>458</v>
      </c>
      <c r="C18" s="11">
        <v>36856583241</v>
      </c>
      <c r="D18" s="5" t="s">
        <v>460</v>
      </c>
      <c r="E18" s="8">
        <v>125000</v>
      </c>
      <c r="F18" s="5" t="s">
        <v>9</v>
      </c>
      <c r="G18" s="2" t="s">
        <v>459</v>
      </c>
    </row>
    <row r="19" spans="1:7" x14ac:dyDescent="0.25">
      <c r="A19" s="11">
        <v>9</v>
      </c>
      <c r="B19" s="5" t="s">
        <v>91</v>
      </c>
      <c r="C19" s="11">
        <v>62534176727</v>
      </c>
      <c r="D19" s="5" t="s">
        <v>117</v>
      </c>
      <c r="E19" s="8">
        <f>7315.63+1058.75+1058.75</f>
        <v>9433.130000000001</v>
      </c>
      <c r="F19" s="5" t="s">
        <v>9</v>
      </c>
      <c r="G19" s="2" t="s">
        <v>20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1407135.68</f>
        <v>1407135.68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290</v>
      </c>
      <c r="C21" s="11">
        <v>31826907316</v>
      </c>
      <c r="D21" s="5" t="s">
        <v>291</v>
      </c>
      <c r="E21" s="8">
        <f>10000+5294+5000</f>
        <v>20294</v>
      </c>
      <c r="F21" s="5" t="s">
        <v>9</v>
      </c>
      <c r="G21" s="2" t="s">
        <v>20</v>
      </c>
    </row>
    <row r="22" spans="1:7" x14ac:dyDescent="0.25">
      <c r="A22" s="11">
        <v>12</v>
      </c>
      <c r="B22" s="5" t="s">
        <v>272</v>
      </c>
      <c r="C22" s="11">
        <v>54527841697</v>
      </c>
      <c r="D22" s="5" t="s">
        <v>279</v>
      </c>
      <c r="E22" s="8">
        <f>375+250+250+756.25</f>
        <v>1631.25</v>
      </c>
      <c r="F22" s="5" t="s">
        <v>9</v>
      </c>
      <c r="G22" s="2" t="s">
        <v>20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v>1526.22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33</v>
      </c>
      <c r="C24" s="11">
        <v>57500462912</v>
      </c>
      <c r="D24" s="5" t="s">
        <v>35</v>
      </c>
      <c r="E24" s="8">
        <f>1300</f>
        <v>1300</v>
      </c>
      <c r="F24" s="5" t="s">
        <v>9</v>
      </c>
      <c r="G24" s="2" t="s">
        <v>34</v>
      </c>
    </row>
    <row r="25" spans="1:7" x14ac:dyDescent="0.25">
      <c r="A25" s="11">
        <v>15</v>
      </c>
      <c r="B25" s="5" t="s">
        <v>15</v>
      </c>
      <c r="C25" s="11" t="s">
        <v>15</v>
      </c>
      <c r="D25" s="5" t="s">
        <v>15</v>
      </c>
      <c r="E25" s="8">
        <f>450+1350</f>
        <v>1800</v>
      </c>
      <c r="F25" s="5" t="s">
        <v>9</v>
      </c>
      <c r="G25" s="2" t="s">
        <v>776</v>
      </c>
    </row>
    <row r="26" spans="1:7" x14ac:dyDescent="0.25">
      <c r="A26" s="11">
        <v>16</v>
      </c>
      <c r="B26" s="19" t="s">
        <v>154</v>
      </c>
      <c r="C26" s="30">
        <v>72836081238</v>
      </c>
      <c r="D26" s="19" t="s">
        <v>155</v>
      </c>
      <c r="E26" s="15">
        <f>5675</f>
        <v>5675</v>
      </c>
      <c r="F26" s="19" t="s">
        <v>9</v>
      </c>
      <c r="G26" s="25" t="s">
        <v>20</v>
      </c>
    </row>
    <row r="27" spans="1:7" x14ac:dyDescent="0.25">
      <c r="A27" s="11">
        <v>17</v>
      </c>
      <c r="B27" s="5" t="s">
        <v>876</v>
      </c>
      <c r="C27" s="11">
        <v>71471878449</v>
      </c>
      <c r="D27" s="5" t="s">
        <v>877</v>
      </c>
      <c r="E27" s="8">
        <v>149.19999999999999</v>
      </c>
      <c r="F27" s="36" t="s">
        <v>9</v>
      </c>
      <c r="G27" s="2" t="s">
        <v>305</v>
      </c>
    </row>
    <row r="28" spans="1:7" ht="15.75" thickBot="1" x14ac:dyDescent="0.3">
      <c r="A28" s="11">
        <v>18</v>
      </c>
      <c r="B28" s="19" t="s">
        <v>478</v>
      </c>
      <c r="C28" s="30">
        <v>23308926345</v>
      </c>
      <c r="D28" s="19" t="s">
        <v>479</v>
      </c>
      <c r="E28" s="15">
        <f>207.31+388.13</f>
        <v>595.44000000000005</v>
      </c>
      <c r="F28" s="19" t="s">
        <v>9</v>
      </c>
      <c r="G28" s="25" t="s">
        <v>36</v>
      </c>
    </row>
    <row r="29" spans="1:7" x14ac:dyDescent="0.25">
      <c r="A29" s="65">
        <v>19</v>
      </c>
      <c r="B29" s="67" t="s">
        <v>281</v>
      </c>
      <c r="C29" s="65">
        <v>66253945791</v>
      </c>
      <c r="D29" s="67" t="s">
        <v>46</v>
      </c>
      <c r="E29" s="16">
        <f>208849.39+70000+85005</f>
        <v>363854.39</v>
      </c>
      <c r="F29" s="67" t="s">
        <v>9</v>
      </c>
      <c r="G29" s="26" t="s">
        <v>37</v>
      </c>
    </row>
    <row r="30" spans="1:7" x14ac:dyDescent="0.25">
      <c r="A30" s="75"/>
      <c r="B30" s="76"/>
      <c r="C30" s="75"/>
      <c r="D30" s="76"/>
      <c r="E30" s="8">
        <f>25314.43+21055</f>
        <v>46369.43</v>
      </c>
      <c r="F30" s="76"/>
      <c r="G30" s="34" t="s">
        <v>36</v>
      </c>
    </row>
    <row r="31" spans="1:7" ht="15.75" thickBot="1" x14ac:dyDescent="0.3">
      <c r="A31" s="66"/>
      <c r="B31" s="68"/>
      <c r="C31" s="66"/>
      <c r="D31" s="68"/>
      <c r="E31" s="61">
        <f>22118.91+5818.57</f>
        <v>27937.48</v>
      </c>
      <c r="F31" s="68"/>
      <c r="G31" s="27" t="s">
        <v>20</v>
      </c>
    </row>
    <row r="32" spans="1:7" x14ac:dyDescent="0.25">
      <c r="A32" s="31">
        <v>20</v>
      </c>
      <c r="B32" s="28" t="s">
        <v>505</v>
      </c>
      <c r="C32" s="31">
        <v>25712329343</v>
      </c>
      <c r="D32" s="28" t="s">
        <v>506</v>
      </c>
      <c r="E32" s="17">
        <f>56.75+9.9</f>
        <v>66.650000000000006</v>
      </c>
      <c r="F32" s="28" t="s">
        <v>9</v>
      </c>
      <c r="G32" s="29" t="s">
        <v>20</v>
      </c>
    </row>
    <row r="33" spans="1:7" x14ac:dyDescent="0.25">
      <c r="A33" s="11">
        <v>21</v>
      </c>
      <c r="B33" s="19" t="s">
        <v>38</v>
      </c>
      <c r="C33" s="30">
        <v>63073332379</v>
      </c>
      <c r="D33" s="19" t="s">
        <v>48</v>
      </c>
      <c r="E33" s="15">
        <v>5771</v>
      </c>
      <c r="F33" s="19" t="s">
        <v>9</v>
      </c>
      <c r="G33" s="25" t="s">
        <v>40</v>
      </c>
    </row>
    <row r="34" spans="1:7" x14ac:dyDescent="0.25">
      <c r="A34" s="11">
        <v>22</v>
      </c>
      <c r="B34" s="5" t="s">
        <v>242</v>
      </c>
      <c r="C34" s="11">
        <v>69857578031</v>
      </c>
      <c r="D34" s="5" t="s">
        <v>244</v>
      </c>
      <c r="E34" s="8">
        <f>349.8+349.8+448.31</f>
        <v>1147.9100000000001</v>
      </c>
      <c r="F34" s="36" t="s">
        <v>9</v>
      </c>
      <c r="G34" s="2" t="s">
        <v>243</v>
      </c>
    </row>
    <row r="35" spans="1:7" ht="15.75" thickBot="1" x14ac:dyDescent="0.3">
      <c r="A35" s="11">
        <v>23</v>
      </c>
      <c r="B35" s="5" t="s">
        <v>646</v>
      </c>
      <c r="C35" s="11">
        <v>44270699963</v>
      </c>
      <c r="D35" s="5" t="s">
        <v>647</v>
      </c>
      <c r="E35" s="18">
        <v>38.24</v>
      </c>
      <c r="F35" s="62" t="s">
        <v>9</v>
      </c>
      <c r="G35" s="27" t="s">
        <v>70</v>
      </c>
    </row>
    <row r="36" spans="1:7" x14ac:dyDescent="0.25">
      <c r="A36" s="65">
        <v>24</v>
      </c>
      <c r="B36" s="67" t="s">
        <v>50</v>
      </c>
      <c r="C36" s="65">
        <v>11471889269</v>
      </c>
      <c r="D36" s="67" t="s">
        <v>51</v>
      </c>
      <c r="E36" s="16">
        <v>7704.01</v>
      </c>
      <c r="F36" s="67" t="s">
        <v>9</v>
      </c>
      <c r="G36" s="26" t="s">
        <v>37</v>
      </c>
    </row>
    <row r="37" spans="1:7" ht="15.75" thickBot="1" x14ac:dyDescent="0.3">
      <c r="A37" s="66"/>
      <c r="B37" s="68"/>
      <c r="C37" s="66"/>
      <c r="D37" s="68"/>
      <c r="E37" s="18">
        <f>1264.13</f>
        <v>1264.1300000000001</v>
      </c>
      <c r="F37" s="68"/>
      <c r="G37" s="27" t="s">
        <v>20</v>
      </c>
    </row>
    <row r="38" spans="1:7" x14ac:dyDescent="0.25">
      <c r="A38" s="65">
        <v>25</v>
      </c>
      <c r="B38" s="67" t="s">
        <v>52</v>
      </c>
      <c r="C38" s="65">
        <v>27759560625</v>
      </c>
      <c r="D38" s="67" t="s">
        <v>54</v>
      </c>
      <c r="E38" s="16">
        <v>7554.21</v>
      </c>
      <c r="F38" s="67" t="s">
        <v>9</v>
      </c>
      <c r="G38" s="26" t="s">
        <v>53</v>
      </c>
    </row>
    <row r="39" spans="1:7" ht="15.75" thickBot="1" x14ac:dyDescent="0.3">
      <c r="A39" s="75"/>
      <c r="B39" s="76"/>
      <c r="C39" s="75"/>
      <c r="D39" s="76"/>
      <c r="E39" s="15">
        <v>852.18</v>
      </c>
      <c r="F39" s="76"/>
      <c r="G39" s="25" t="s">
        <v>20</v>
      </c>
    </row>
    <row r="40" spans="1:7" x14ac:dyDescent="0.25">
      <c r="A40" s="43">
        <v>26</v>
      </c>
      <c r="B40" s="44" t="s">
        <v>353</v>
      </c>
      <c r="C40" s="43">
        <v>35140755222</v>
      </c>
      <c r="D40" s="44" t="s">
        <v>354</v>
      </c>
      <c r="E40" s="16">
        <v>264.06</v>
      </c>
      <c r="F40" s="44" t="s">
        <v>9</v>
      </c>
      <c r="G40" s="26" t="s">
        <v>20</v>
      </c>
    </row>
    <row r="41" spans="1:7" x14ac:dyDescent="0.25">
      <c r="A41" s="11">
        <v>27</v>
      </c>
      <c r="B41" s="5" t="s">
        <v>267</v>
      </c>
      <c r="C41" s="11">
        <v>22911773746</v>
      </c>
      <c r="D41" s="5" t="s">
        <v>268</v>
      </c>
      <c r="E41" s="8">
        <f>2837.25+186.73</f>
        <v>3023.98</v>
      </c>
      <c r="F41" s="5" t="s">
        <v>9</v>
      </c>
      <c r="G41" s="2" t="s">
        <v>20</v>
      </c>
    </row>
    <row r="42" spans="1:7" x14ac:dyDescent="0.25">
      <c r="A42" s="11">
        <v>28</v>
      </c>
      <c r="B42" s="5" t="s">
        <v>56</v>
      </c>
      <c r="C42" s="11">
        <v>42889250808</v>
      </c>
      <c r="D42" s="5" t="s">
        <v>57</v>
      </c>
      <c r="E42" s="8">
        <v>65.53</v>
      </c>
      <c r="F42" s="5" t="s">
        <v>9</v>
      </c>
      <c r="G42" s="2" t="s">
        <v>55</v>
      </c>
    </row>
    <row r="43" spans="1:7" x14ac:dyDescent="0.25">
      <c r="A43" s="11">
        <v>29</v>
      </c>
      <c r="B43" s="5" t="s">
        <v>213</v>
      </c>
      <c r="C43" s="11">
        <v>38411868043</v>
      </c>
      <c r="D43" s="5" t="s">
        <v>214</v>
      </c>
      <c r="E43" s="8">
        <f>5000+1000</f>
        <v>6000</v>
      </c>
      <c r="F43" s="5" t="s">
        <v>9</v>
      </c>
      <c r="G43" s="2" t="s">
        <v>20</v>
      </c>
    </row>
    <row r="44" spans="1:7" x14ac:dyDescent="0.25">
      <c r="A44" s="11">
        <v>30</v>
      </c>
      <c r="B44" s="5" t="s">
        <v>483</v>
      </c>
      <c r="C44" s="11">
        <v>68419124305</v>
      </c>
      <c r="D44" s="5" t="s">
        <v>484</v>
      </c>
      <c r="E44" s="8">
        <v>106.2</v>
      </c>
      <c r="F44" s="5" t="s">
        <v>9</v>
      </c>
      <c r="G44" s="2" t="s">
        <v>485</v>
      </c>
    </row>
    <row r="45" spans="1:7" x14ac:dyDescent="0.25">
      <c r="A45" s="11">
        <v>31</v>
      </c>
      <c r="B45" s="5" t="s">
        <v>372</v>
      </c>
      <c r="C45" s="11">
        <v>42525184727</v>
      </c>
      <c r="D45" s="5" t="s">
        <v>129</v>
      </c>
      <c r="E45" s="8">
        <f>228.6+206.4</f>
        <v>435</v>
      </c>
      <c r="F45" s="5" t="s">
        <v>9</v>
      </c>
      <c r="G45" s="2" t="s">
        <v>95</v>
      </c>
    </row>
    <row r="46" spans="1:7" x14ac:dyDescent="0.25">
      <c r="A46" s="11">
        <v>32</v>
      </c>
      <c r="B46" s="5" t="s">
        <v>59</v>
      </c>
      <c r="C46" s="11" t="s">
        <v>15</v>
      </c>
      <c r="D46" s="5" t="s">
        <v>15</v>
      </c>
      <c r="E46" s="8">
        <v>310.24</v>
      </c>
      <c r="F46" s="5" t="s">
        <v>9</v>
      </c>
      <c r="G46" s="2" t="s">
        <v>58</v>
      </c>
    </row>
    <row r="47" spans="1:7" x14ac:dyDescent="0.25">
      <c r="A47" s="11">
        <v>33</v>
      </c>
      <c r="B47" s="19" t="s">
        <v>406</v>
      </c>
      <c r="C47" s="30">
        <v>94167807411</v>
      </c>
      <c r="D47" s="19" t="s">
        <v>407</v>
      </c>
      <c r="E47" s="8">
        <v>16.5</v>
      </c>
      <c r="F47" s="5" t="s">
        <v>9</v>
      </c>
      <c r="G47" s="2" t="s">
        <v>20</v>
      </c>
    </row>
    <row r="48" spans="1:7" x14ac:dyDescent="0.25">
      <c r="A48" s="11">
        <v>34</v>
      </c>
      <c r="B48" s="5" t="s">
        <v>15</v>
      </c>
      <c r="C48" s="11" t="s">
        <v>15</v>
      </c>
      <c r="D48" s="5" t="s">
        <v>15</v>
      </c>
      <c r="E48" s="8">
        <v>2340</v>
      </c>
      <c r="F48" s="5" t="s">
        <v>9</v>
      </c>
      <c r="G48" s="2" t="s">
        <v>60</v>
      </c>
    </row>
    <row r="49" spans="1:7" x14ac:dyDescent="0.25">
      <c r="A49" s="11">
        <v>35</v>
      </c>
      <c r="B49" s="5" t="s">
        <v>15</v>
      </c>
      <c r="C49" s="11" t="s">
        <v>15</v>
      </c>
      <c r="D49" s="5" t="s">
        <v>15</v>
      </c>
      <c r="E49" s="8">
        <v>660</v>
      </c>
      <c r="F49" s="5" t="s">
        <v>9</v>
      </c>
      <c r="G49" s="2" t="s">
        <v>878</v>
      </c>
    </row>
    <row r="50" spans="1:7" x14ac:dyDescent="0.25">
      <c r="A50" s="11">
        <v>36</v>
      </c>
      <c r="B50" s="5" t="s">
        <v>105</v>
      </c>
      <c r="C50" s="11">
        <v>22694857747</v>
      </c>
      <c r="D50" s="5" t="s">
        <v>127</v>
      </c>
      <c r="E50" s="8">
        <v>1960.93</v>
      </c>
      <c r="F50" s="5" t="s">
        <v>9</v>
      </c>
      <c r="G50" s="2" t="s">
        <v>106</v>
      </c>
    </row>
    <row r="51" spans="1:7" x14ac:dyDescent="0.25">
      <c r="A51" s="11">
        <v>37</v>
      </c>
      <c r="B51" s="19" t="s">
        <v>820</v>
      </c>
      <c r="C51" s="35">
        <v>32788783151</v>
      </c>
      <c r="D51" s="19" t="s">
        <v>821</v>
      </c>
      <c r="E51" s="8">
        <f>29.55+147.75</f>
        <v>177.3</v>
      </c>
      <c r="F51" s="5" t="s">
        <v>9</v>
      </c>
      <c r="G51" s="2" t="s">
        <v>20</v>
      </c>
    </row>
    <row r="52" spans="1:7" x14ac:dyDescent="0.25">
      <c r="A52" s="11">
        <v>38</v>
      </c>
      <c r="B52" s="5" t="s">
        <v>323</v>
      </c>
      <c r="C52" s="12" t="s">
        <v>325</v>
      </c>
      <c r="D52" s="5" t="s">
        <v>324</v>
      </c>
      <c r="E52" s="8">
        <v>980</v>
      </c>
      <c r="F52" s="5" t="s">
        <v>9</v>
      </c>
      <c r="G52" s="2" t="s">
        <v>20</v>
      </c>
    </row>
    <row r="53" spans="1:7" x14ac:dyDescent="0.25">
      <c r="A53" s="11">
        <v>39</v>
      </c>
      <c r="B53" s="5" t="s">
        <v>326</v>
      </c>
      <c r="C53" s="11">
        <v>10613092990</v>
      </c>
      <c r="D53" s="5" t="s">
        <v>327</v>
      </c>
      <c r="E53" s="8">
        <v>1346.33</v>
      </c>
      <c r="F53" s="5" t="s">
        <v>9</v>
      </c>
      <c r="G53" s="2" t="s">
        <v>20</v>
      </c>
    </row>
    <row r="54" spans="1:7" x14ac:dyDescent="0.25">
      <c r="A54" s="11">
        <v>40</v>
      </c>
      <c r="B54" s="5" t="s">
        <v>510</v>
      </c>
      <c r="C54" s="12" t="s">
        <v>511</v>
      </c>
      <c r="D54" s="5" t="s">
        <v>512</v>
      </c>
      <c r="E54" s="8">
        <v>2897.6</v>
      </c>
      <c r="F54" s="5" t="s">
        <v>9</v>
      </c>
      <c r="G54" s="2" t="s">
        <v>20</v>
      </c>
    </row>
    <row r="55" spans="1:7" x14ac:dyDescent="0.25">
      <c r="A55" s="11">
        <v>41</v>
      </c>
      <c r="B55" s="5" t="s">
        <v>879</v>
      </c>
      <c r="C55" s="11">
        <v>15533693916</v>
      </c>
      <c r="D55" s="5" t="s">
        <v>880</v>
      </c>
      <c r="E55" s="8">
        <v>525</v>
      </c>
      <c r="F55" s="5" t="s">
        <v>9</v>
      </c>
      <c r="G55" s="2" t="s">
        <v>20</v>
      </c>
    </row>
    <row r="56" spans="1:7" x14ac:dyDescent="0.25">
      <c r="A56" s="11">
        <v>42</v>
      </c>
      <c r="B56" s="19" t="s">
        <v>881</v>
      </c>
      <c r="C56" s="35" t="s">
        <v>882</v>
      </c>
      <c r="D56" s="19" t="s">
        <v>883</v>
      </c>
      <c r="E56" s="8">
        <v>250</v>
      </c>
      <c r="F56" s="5" t="s">
        <v>9</v>
      </c>
      <c r="G56" s="2" t="s">
        <v>20</v>
      </c>
    </row>
    <row r="57" spans="1:7" x14ac:dyDescent="0.25">
      <c r="A57" s="11">
        <v>43</v>
      </c>
      <c r="B57" s="19" t="s">
        <v>884</v>
      </c>
      <c r="C57" s="35">
        <v>85729206190</v>
      </c>
      <c r="D57" s="19" t="s">
        <v>885</v>
      </c>
      <c r="E57" s="8">
        <v>228.75</v>
      </c>
      <c r="F57" s="5" t="s">
        <v>9</v>
      </c>
      <c r="G57" s="2" t="s">
        <v>20</v>
      </c>
    </row>
    <row r="58" spans="1:7" x14ac:dyDescent="0.25">
      <c r="A58" s="11">
        <v>44</v>
      </c>
      <c r="B58" s="19" t="s">
        <v>886</v>
      </c>
      <c r="C58" s="35">
        <v>72662515745</v>
      </c>
      <c r="D58" s="19" t="s">
        <v>887</v>
      </c>
      <c r="E58" s="8">
        <v>168.75</v>
      </c>
      <c r="F58" s="5" t="s">
        <v>9</v>
      </c>
      <c r="G58" s="2" t="s">
        <v>20</v>
      </c>
    </row>
    <row r="59" spans="1:7" x14ac:dyDescent="0.25">
      <c r="A59" s="11">
        <v>45</v>
      </c>
      <c r="B59" s="5" t="s">
        <v>888</v>
      </c>
      <c r="C59" s="12">
        <v>88137585457</v>
      </c>
      <c r="D59" s="5" t="s">
        <v>889</v>
      </c>
      <c r="E59" s="8">
        <f>330.55</f>
        <v>330.55</v>
      </c>
      <c r="F59" s="5" t="s">
        <v>9</v>
      </c>
      <c r="G59" s="2" t="s">
        <v>20</v>
      </c>
    </row>
    <row r="60" spans="1:7" x14ac:dyDescent="0.25">
      <c r="A60" s="11">
        <v>46</v>
      </c>
      <c r="B60" s="5" t="s">
        <v>858</v>
      </c>
      <c r="C60" s="11">
        <v>7882320813</v>
      </c>
      <c r="D60" s="5" t="s">
        <v>859</v>
      </c>
      <c r="E60" s="8">
        <v>204.24</v>
      </c>
      <c r="F60" s="5" t="s">
        <v>9</v>
      </c>
      <c r="G60" s="2" t="s">
        <v>187</v>
      </c>
    </row>
    <row r="61" spans="1:7" x14ac:dyDescent="0.25">
      <c r="A61" s="11">
        <v>47</v>
      </c>
      <c r="B61" s="5" t="s">
        <v>890</v>
      </c>
      <c r="C61" s="12" t="s">
        <v>891</v>
      </c>
      <c r="D61" s="5" t="s">
        <v>892</v>
      </c>
      <c r="E61" s="8">
        <v>87.5</v>
      </c>
      <c r="F61" s="5" t="s">
        <v>9</v>
      </c>
      <c r="G61" s="2" t="s">
        <v>147</v>
      </c>
    </row>
    <row r="62" spans="1:7" x14ac:dyDescent="0.25">
      <c r="A62" s="11">
        <v>48</v>
      </c>
      <c r="B62" s="5" t="s">
        <v>416</v>
      </c>
      <c r="C62" s="12" t="s">
        <v>385</v>
      </c>
      <c r="D62" s="5" t="s">
        <v>417</v>
      </c>
      <c r="E62" s="8">
        <f>123.46</f>
        <v>123.46</v>
      </c>
      <c r="F62" s="5" t="s">
        <v>9</v>
      </c>
      <c r="G62" s="2" t="s">
        <v>20</v>
      </c>
    </row>
    <row r="63" spans="1:7" x14ac:dyDescent="0.25">
      <c r="A63" s="11">
        <v>49</v>
      </c>
      <c r="B63" s="21" t="s">
        <v>408</v>
      </c>
      <c r="C63" s="22">
        <v>22248533094</v>
      </c>
      <c r="D63" s="21" t="s">
        <v>409</v>
      </c>
      <c r="E63" s="8">
        <v>371.58</v>
      </c>
      <c r="F63" s="5" t="s">
        <v>9</v>
      </c>
      <c r="G63" s="2" t="s">
        <v>20</v>
      </c>
    </row>
    <row r="64" spans="1:7" x14ac:dyDescent="0.25">
      <c r="A64" s="11">
        <v>50</v>
      </c>
      <c r="B64" s="5" t="s">
        <v>893</v>
      </c>
      <c r="C64" s="11">
        <v>73777060562</v>
      </c>
      <c r="D64" s="5" t="s">
        <v>894</v>
      </c>
      <c r="E64" s="8">
        <v>131.88</v>
      </c>
      <c r="F64" s="5" t="s">
        <v>9</v>
      </c>
      <c r="G64" s="2" t="s">
        <v>20</v>
      </c>
    </row>
    <row r="65" spans="1:7" x14ac:dyDescent="0.25">
      <c r="A65" s="11">
        <v>51</v>
      </c>
      <c r="B65" s="5" t="s">
        <v>251</v>
      </c>
      <c r="C65" s="11">
        <v>54482179263</v>
      </c>
      <c r="D65" s="5" t="s">
        <v>252</v>
      </c>
      <c r="E65" s="8">
        <f>103.15+222.36</f>
        <v>325.51</v>
      </c>
      <c r="F65" s="5" t="s">
        <v>9</v>
      </c>
      <c r="G65" s="2" t="s">
        <v>20</v>
      </c>
    </row>
    <row r="66" spans="1:7" x14ac:dyDescent="0.25">
      <c r="A66" s="11">
        <v>52</v>
      </c>
      <c r="B66" s="5" t="s">
        <v>248</v>
      </c>
      <c r="C66" s="11" t="s">
        <v>249</v>
      </c>
      <c r="D66" s="5" t="s">
        <v>250</v>
      </c>
      <c r="E66" s="8">
        <v>15634.8</v>
      </c>
      <c r="F66" s="5" t="s">
        <v>9</v>
      </c>
      <c r="G66" s="2" t="s">
        <v>20</v>
      </c>
    </row>
    <row r="67" spans="1:7" x14ac:dyDescent="0.25">
      <c r="A67" s="11">
        <v>53</v>
      </c>
      <c r="B67" s="19" t="s">
        <v>833</v>
      </c>
      <c r="C67" s="35">
        <v>41585115451</v>
      </c>
      <c r="D67" s="19" t="s">
        <v>834</v>
      </c>
      <c r="E67" s="8">
        <v>272.74</v>
      </c>
      <c r="F67" s="5" t="s">
        <v>9</v>
      </c>
      <c r="G67" s="2" t="s">
        <v>20</v>
      </c>
    </row>
    <row r="68" spans="1:7" x14ac:dyDescent="0.25">
      <c r="A68" s="11">
        <v>54</v>
      </c>
      <c r="B68" s="19" t="s">
        <v>895</v>
      </c>
      <c r="C68" s="35">
        <v>44996132617</v>
      </c>
      <c r="D68" s="19" t="s">
        <v>896</v>
      </c>
      <c r="E68" s="8">
        <v>350</v>
      </c>
      <c r="F68" s="5" t="s">
        <v>9</v>
      </c>
      <c r="G68" s="2" t="s">
        <v>256</v>
      </c>
    </row>
    <row r="69" spans="1:7" x14ac:dyDescent="0.25">
      <c r="A69" s="11">
        <v>55</v>
      </c>
      <c r="B69" s="5" t="s">
        <v>839</v>
      </c>
      <c r="C69" s="12">
        <v>17695528532</v>
      </c>
      <c r="D69" s="5" t="s">
        <v>840</v>
      </c>
      <c r="E69" s="8">
        <v>26</v>
      </c>
      <c r="F69" s="5" t="s">
        <v>9</v>
      </c>
      <c r="G69" s="2" t="s">
        <v>283</v>
      </c>
    </row>
    <row r="70" spans="1:7" x14ac:dyDescent="0.25">
      <c r="A70" s="11">
        <v>56</v>
      </c>
      <c r="B70" s="5" t="s">
        <v>87</v>
      </c>
      <c r="C70" s="11">
        <v>51645411160</v>
      </c>
      <c r="D70" s="5" t="s">
        <v>114</v>
      </c>
      <c r="E70" s="8">
        <f>13.45</f>
        <v>13.45</v>
      </c>
      <c r="F70" s="5" t="s">
        <v>9</v>
      </c>
      <c r="G70" s="2" t="s">
        <v>20</v>
      </c>
    </row>
    <row r="71" spans="1:7" x14ac:dyDescent="0.25">
      <c r="A71" s="11">
        <v>57</v>
      </c>
      <c r="B71" s="5" t="s">
        <v>729</v>
      </c>
      <c r="C71" s="12">
        <v>99940897955</v>
      </c>
      <c r="D71" s="5" t="s">
        <v>730</v>
      </c>
      <c r="E71" s="8">
        <v>252.13</v>
      </c>
      <c r="F71" s="5" t="s">
        <v>9</v>
      </c>
      <c r="G71" s="2" t="s">
        <v>147</v>
      </c>
    </row>
    <row r="72" spans="1:7" x14ac:dyDescent="0.25">
      <c r="A72" s="11">
        <v>58</v>
      </c>
      <c r="B72" s="5" t="s">
        <v>445</v>
      </c>
      <c r="C72" s="11">
        <v>18499608152</v>
      </c>
      <c r="D72" s="5" t="s">
        <v>328</v>
      </c>
      <c r="E72" s="8">
        <v>35.840000000000003</v>
      </c>
      <c r="F72" s="5" t="s">
        <v>9</v>
      </c>
      <c r="G72" s="2" t="s">
        <v>20</v>
      </c>
    </row>
    <row r="73" spans="1:7" x14ac:dyDescent="0.25">
      <c r="A73" s="11">
        <v>59</v>
      </c>
      <c r="B73" s="5" t="s">
        <v>585</v>
      </c>
      <c r="C73" s="11">
        <v>21748984734</v>
      </c>
      <c r="D73" s="5" t="s">
        <v>586</v>
      </c>
      <c r="E73" s="8">
        <v>199.74</v>
      </c>
      <c r="F73" s="5" t="s">
        <v>9</v>
      </c>
      <c r="G73" s="2" t="s">
        <v>587</v>
      </c>
    </row>
    <row r="74" spans="1:7" x14ac:dyDescent="0.25">
      <c r="A74" s="11">
        <v>60</v>
      </c>
      <c r="B74" s="36" t="s">
        <v>410</v>
      </c>
      <c r="C74" s="37">
        <v>80653493587</v>
      </c>
      <c r="D74" s="36" t="s">
        <v>411</v>
      </c>
      <c r="E74" s="8">
        <v>742.5</v>
      </c>
      <c r="F74" s="5" t="s">
        <v>9</v>
      </c>
      <c r="G74" s="2" t="s">
        <v>20</v>
      </c>
    </row>
    <row r="75" spans="1:7" x14ac:dyDescent="0.25">
      <c r="A75" s="11">
        <v>61</v>
      </c>
      <c r="B75" s="19" t="s">
        <v>897</v>
      </c>
      <c r="C75" s="35">
        <v>83235711186</v>
      </c>
      <c r="D75" s="19" t="s">
        <v>898</v>
      </c>
      <c r="E75" s="8">
        <v>625</v>
      </c>
      <c r="F75" s="5" t="s">
        <v>9</v>
      </c>
      <c r="G75" s="2" t="s">
        <v>550</v>
      </c>
    </row>
    <row r="76" spans="1:7" x14ac:dyDescent="0.25">
      <c r="A76" s="11">
        <v>62</v>
      </c>
      <c r="B76" s="19" t="s">
        <v>899</v>
      </c>
      <c r="C76" s="35" t="s">
        <v>900</v>
      </c>
      <c r="D76" s="19" t="s">
        <v>901</v>
      </c>
      <c r="E76" s="8">
        <v>9543</v>
      </c>
      <c r="F76" s="5" t="s">
        <v>9</v>
      </c>
      <c r="G76" s="2" t="s">
        <v>20</v>
      </c>
    </row>
    <row r="77" spans="1:7" x14ac:dyDescent="0.25">
      <c r="A77" s="11">
        <v>63</v>
      </c>
      <c r="B77" s="19" t="s">
        <v>513</v>
      </c>
      <c r="C77" s="35" t="s">
        <v>514</v>
      </c>
      <c r="D77" s="19" t="s">
        <v>515</v>
      </c>
      <c r="E77" s="8">
        <f>8090.5+11862.5</f>
        <v>19953</v>
      </c>
      <c r="F77" s="5" t="s">
        <v>9</v>
      </c>
      <c r="G77" s="2" t="s">
        <v>20</v>
      </c>
    </row>
    <row r="78" spans="1:7" x14ac:dyDescent="0.25">
      <c r="A78" s="11">
        <v>64</v>
      </c>
      <c r="B78" s="5" t="s">
        <v>469</v>
      </c>
      <c r="C78" s="11">
        <v>28921383001</v>
      </c>
      <c r="D78" s="5" t="s">
        <v>470</v>
      </c>
      <c r="E78" s="8">
        <f>1641.83+1017.67+1.24</f>
        <v>2660.74</v>
      </c>
      <c r="F78" s="5" t="s">
        <v>9</v>
      </c>
      <c r="G78" s="2" t="s">
        <v>471</v>
      </c>
    </row>
    <row r="79" spans="1:7" x14ac:dyDescent="0.25">
      <c r="A79" s="11">
        <v>65</v>
      </c>
      <c r="B79" s="36" t="s">
        <v>414</v>
      </c>
      <c r="C79" s="37">
        <v>41025754642</v>
      </c>
      <c r="D79" s="36" t="s">
        <v>415</v>
      </c>
      <c r="E79" s="8">
        <f>437.5+1250+437.5+1250</f>
        <v>3375</v>
      </c>
      <c r="F79" s="5" t="s">
        <v>9</v>
      </c>
      <c r="G79" s="2" t="s">
        <v>55</v>
      </c>
    </row>
    <row r="80" spans="1:7" x14ac:dyDescent="0.25">
      <c r="A80" s="11">
        <v>66</v>
      </c>
      <c r="B80" s="5" t="s">
        <v>269</v>
      </c>
      <c r="C80" s="11">
        <v>75202805533</v>
      </c>
      <c r="D80" s="5" t="s">
        <v>274</v>
      </c>
      <c r="E80" s="8">
        <f>9</f>
        <v>9</v>
      </c>
      <c r="F80" s="5" t="s">
        <v>9</v>
      </c>
      <c r="G80" s="2" t="s">
        <v>20</v>
      </c>
    </row>
    <row r="81" spans="1:7" x14ac:dyDescent="0.25">
      <c r="A81" s="11">
        <v>67</v>
      </c>
      <c r="B81" s="5" t="s">
        <v>902</v>
      </c>
      <c r="C81" s="11">
        <v>91330201308</v>
      </c>
      <c r="D81" s="5" t="s">
        <v>903</v>
      </c>
      <c r="E81" s="8">
        <v>1190.1500000000001</v>
      </c>
      <c r="F81" s="5" t="s">
        <v>9</v>
      </c>
      <c r="G81" s="2" t="s">
        <v>20</v>
      </c>
    </row>
    <row r="82" spans="1:7" x14ac:dyDescent="0.25">
      <c r="A82" s="11">
        <v>68</v>
      </c>
      <c r="B82" s="5" t="s">
        <v>904</v>
      </c>
      <c r="C82" s="11" t="s">
        <v>905</v>
      </c>
      <c r="D82" s="5" t="s">
        <v>906</v>
      </c>
      <c r="E82" s="8">
        <v>503.6</v>
      </c>
      <c r="F82" s="5" t="s">
        <v>9</v>
      </c>
      <c r="G82" s="2" t="s">
        <v>20</v>
      </c>
    </row>
    <row r="83" spans="1:7" x14ac:dyDescent="0.25">
      <c r="A83" s="11">
        <v>69</v>
      </c>
      <c r="B83" s="5" t="s">
        <v>907</v>
      </c>
      <c r="C83" s="11">
        <v>38842004780</v>
      </c>
      <c r="D83" s="5" t="s">
        <v>908</v>
      </c>
      <c r="E83" s="8">
        <f>720+102.5</f>
        <v>822.5</v>
      </c>
      <c r="F83" s="5" t="s">
        <v>9</v>
      </c>
      <c r="G83" s="2" t="s">
        <v>20</v>
      </c>
    </row>
    <row r="84" spans="1:7" x14ac:dyDescent="0.25">
      <c r="A84" s="11">
        <v>70</v>
      </c>
      <c r="B84" s="5" t="s">
        <v>456</v>
      </c>
      <c r="C84" s="11">
        <v>10585552225</v>
      </c>
      <c r="D84" s="5" t="s">
        <v>457</v>
      </c>
      <c r="E84" s="8">
        <v>280</v>
      </c>
      <c r="F84" s="5" t="s">
        <v>9</v>
      </c>
      <c r="G84" s="25" t="s">
        <v>96</v>
      </c>
    </row>
    <row r="85" spans="1:7" x14ac:dyDescent="0.25">
      <c r="A85" s="11">
        <v>71</v>
      </c>
      <c r="B85" s="5" t="s">
        <v>395</v>
      </c>
      <c r="C85" s="12" t="s">
        <v>396</v>
      </c>
      <c r="D85" s="5" t="s">
        <v>394</v>
      </c>
      <c r="E85" s="8">
        <v>915.3</v>
      </c>
      <c r="F85" s="5" t="s">
        <v>9</v>
      </c>
      <c r="G85" s="2" t="s">
        <v>20</v>
      </c>
    </row>
    <row r="86" spans="1:7" x14ac:dyDescent="0.25">
      <c r="A86" s="11">
        <v>72</v>
      </c>
      <c r="B86" s="5" t="s">
        <v>909</v>
      </c>
      <c r="C86" s="11">
        <v>63873177102</v>
      </c>
      <c r="D86" s="5" t="s">
        <v>910</v>
      </c>
      <c r="E86" s="8">
        <v>21.6</v>
      </c>
      <c r="F86" s="5" t="s">
        <v>9</v>
      </c>
      <c r="G86" s="2" t="s">
        <v>20</v>
      </c>
    </row>
    <row r="87" spans="1:7" x14ac:dyDescent="0.25">
      <c r="A87" s="11">
        <v>73</v>
      </c>
      <c r="B87" s="5" t="s">
        <v>911</v>
      </c>
      <c r="C87" s="11">
        <v>46564276045</v>
      </c>
      <c r="D87" s="5" t="s">
        <v>912</v>
      </c>
      <c r="E87" s="8">
        <v>150.86000000000001</v>
      </c>
      <c r="F87" s="5" t="s">
        <v>9</v>
      </c>
      <c r="G87" s="2" t="s">
        <v>147</v>
      </c>
    </row>
    <row r="88" spans="1:7" x14ac:dyDescent="0.25">
      <c r="A88" s="11">
        <v>74</v>
      </c>
      <c r="B88" s="5" t="s">
        <v>61</v>
      </c>
      <c r="C88" s="12" t="s">
        <v>913</v>
      </c>
      <c r="D88" s="5" t="s">
        <v>62</v>
      </c>
      <c r="E88" s="8">
        <f>1200.27*2</f>
        <v>2400.54</v>
      </c>
      <c r="F88" s="5" t="s">
        <v>9</v>
      </c>
      <c r="G88" s="2" t="s">
        <v>41</v>
      </c>
    </row>
    <row r="89" spans="1:7" x14ac:dyDescent="0.25">
      <c r="A89" s="11">
        <v>75</v>
      </c>
      <c r="B89" s="19" t="s">
        <v>610</v>
      </c>
      <c r="C89" s="30">
        <v>68766660289</v>
      </c>
      <c r="D89" s="19" t="s">
        <v>611</v>
      </c>
      <c r="E89" s="8">
        <f>25.56</f>
        <v>25.56</v>
      </c>
      <c r="F89" s="5" t="s">
        <v>9</v>
      </c>
      <c r="G89" s="2" t="s">
        <v>20</v>
      </c>
    </row>
    <row r="90" spans="1:7" x14ac:dyDescent="0.25">
      <c r="A90" s="11">
        <v>76</v>
      </c>
      <c r="B90" s="5" t="s">
        <v>612</v>
      </c>
      <c r="C90" s="11">
        <v>66865844122</v>
      </c>
      <c r="D90" s="5" t="s">
        <v>613</v>
      </c>
      <c r="E90" s="15">
        <v>309.24</v>
      </c>
      <c r="F90" s="19" t="s">
        <v>9</v>
      </c>
      <c r="G90" s="2" t="s">
        <v>20</v>
      </c>
    </row>
    <row r="91" spans="1:7" x14ac:dyDescent="0.25">
      <c r="A91" s="11">
        <v>77</v>
      </c>
      <c r="B91" s="5" t="s">
        <v>914</v>
      </c>
      <c r="C91" s="11">
        <v>64634216475</v>
      </c>
      <c r="D91" s="5" t="s">
        <v>915</v>
      </c>
      <c r="E91" s="8">
        <f>184.73+182.1</f>
        <v>366.83</v>
      </c>
      <c r="F91" s="5" t="s">
        <v>9</v>
      </c>
      <c r="G91" s="2" t="s">
        <v>20</v>
      </c>
    </row>
    <row r="92" spans="1:7" x14ac:dyDescent="0.25">
      <c r="A92" s="11">
        <v>78</v>
      </c>
      <c r="B92" s="5" t="s">
        <v>916</v>
      </c>
      <c r="C92" s="11" t="s">
        <v>917</v>
      </c>
      <c r="D92" s="5" t="s">
        <v>918</v>
      </c>
      <c r="E92" s="8">
        <v>185.1</v>
      </c>
      <c r="F92" s="5" t="s">
        <v>9</v>
      </c>
      <c r="G92" s="2" t="s">
        <v>20</v>
      </c>
    </row>
    <row r="93" spans="1:7" x14ac:dyDescent="0.25">
      <c r="A93" s="11">
        <v>79</v>
      </c>
      <c r="B93" s="21" t="s">
        <v>919</v>
      </c>
      <c r="C93" s="22">
        <v>48878830747</v>
      </c>
      <c r="D93" s="21" t="s">
        <v>920</v>
      </c>
      <c r="E93" s="8">
        <v>12</v>
      </c>
      <c r="F93" s="5" t="s">
        <v>9</v>
      </c>
      <c r="G93" s="2" t="s">
        <v>20</v>
      </c>
    </row>
    <row r="94" spans="1:7" x14ac:dyDescent="0.25">
      <c r="A94" s="11">
        <v>80</v>
      </c>
      <c r="B94" s="21" t="s">
        <v>921</v>
      </c>
      <c r="C94" s="22">
        <v>20874581990</v>
      </c>
      <c r="D94" s="21" t="s">
        <v>922</v>
      </c>
      <c r="E94" s="8">
        <v>131.25</v>
      </c>
      <c r="F94" s="5" t="s">
        <v>9</v>
      </c>
      <c r="G94" s="2" t="s">
        <v>20</v>
      </c>
    </row>
    <row r="95" spans="1:7" x14ac:dyDescent="0.25">
      <c r="A95" s="11">
        <v>81</v>
      </c>
      <c r="B95" s="19" t="s">
        <v>579</v>
      </c>
      <c r="C95" s="30">
        <v>57636759173</v>
      </c>
      <c r="D95" s="19" t="s">
        <v>580</v>
      </c>
      <c r="E95" s="8">
        <f>668.1*2</f>
        <v>1336.2</v>
      </c>
      <c r="F95" s="5" t="s">
        <v>9</v>
      </c>
      <c r="G95" s="2" t="s">
        <v>581</v>
      </c>
    </row>
    <row r="96" spans="1:7" x14ac:dyDescent="0.25">
      <c r="A96" s="11">
        <v>82</v>
      </c>
      <c r="B96" s="5" t="s">
        <v>923</v>
      </c>
      <c r="C96" s="11">
        <v>62964458165</v>
      </c>
      <c r="D96" s="5" t="s">
        <v>924</v>
      </c>
      <c r="E96" s="8">
        <v>476.84</v>
      </c>
      <c r="F96" s="5" t="s">
        <v>9</v>
      </c>
      <c r="G96" s="2" t="s">
        <v>20</v>
      </c>
    </row>
    <row r="97" spans="1:7" x14ac:dyDescent="0.25">
      <c r="A97" s="11">
        <v>83</v>
      </c>
      <c r="B97" s="5" t="s">
        <v>925</v>
      </c>
      <c r="C97" s="11">
        <v>65712179914</v>
      </c>
      <c r="D97" s="5" t="s">
        <v>926</v>
      </c>
      <c r="E97" s="8">
        <v>347.44</v>
      </c>
      <c r="F97" s="5" t="s">
        <v>9</v>
      </c>
      <c r="G97" s="2" t="s">
        <v>305</v>
      </c>
    </row>
    <row r="98" spans="1:7" x14ac:dyDescent="0.25">
      <c r="A98" s="11">
        <v>84</v>
      </c>
      <c r="B98" s="5" t="s">
        <v>927</v>
      </c>
      <c r="C98" s="11" t="s">
        <v>928</v>
      </c>
      <c r="D98" s="5" t="s">
        <v>929</v>
      </c>
      <c r="E98" s="8">
        <v>2418.6</v>
      </c>
      <c r="F98" s="5" t="s">
        <v>9</v>
      </c>
      <c r="G98" s="2" t="s">
        <v>20</v>
      </c>
    </row>
    <row r="99" spans="1:7" x14ac:dyDescent="0.25">
      <c r="A99" s="11">
        <v>85</v>
      </c>
      <c r="B99" s="5" t="s">
        <v>930</v>
      </c>
      <c r="C99" s="11">
        <v>58052786981</v>
      </c>
      <c r="D99" s="5" t="s">
        <v>931</v>
      </c>
      <c r="E99" s="8">
        <v>921.25</v>
      </c>
      <c r="F99" s="5" t="s">
        <v>9</v>
      </c>
      <c r="G99" s="2" t="s">
        <v>187</v>
      </c>
    </row>
    <row r="100" spans="1:7" x14ac:dyDescent="0.25">
      <c r="A100" s="11">
        <v>86</v>
      </c>
      <c r="B100" s="5" t="s">
        <v>669</v>
      </c>
      <c r="C100" s="11">
        <v>89027343720</v>
      </c>
      <c r="D100" s="5" t="s">
        <v>670</v>
      </c>
      <c r="E100" s="8">
        <f>804.08+45+645.19+17.25+17.25</f>
        <v>1528.77</v>
      </c>
      <c r="F100" s="5" t="s">
        <v>9</v>
      </c>
      <c r="G100" s="2" t="s">
        <v>20</v>
      </c>
    </row>
    <row r="101" spans="1:7" x14ac:dyDescent="0.25">
      <c r="A101" s="11">
        <v>87</v>
      </c>
      <c r="B101" s="5" t="s">
        <v>731</v>
      </c>
      <c r="C101" s="11">
        <v>33001753417</v>
      </c>
      <c r="D101" s="5" t="s">
        <v>732</v>
      </c>
      <c r="E101" s="8">
        <f>2000+2000+465</f>
        <v>4465</v>
      </c>
      <c r="F101" s="5" t="s">
        <v>9</v>
      </c>
      <c r="G101" s="2" t="s">
        <v>20</v>
      </c>
    </row>
    <row r="102" spans="1:7" x14ac:dyDescent="0.25">
      <c r="A102" s="11">
        <v>88</v>
      </c>
      <c r="B102" s="5" t="s">
        <v>932</v>
      </c>
      <c r="C102" s="11">
        <v>15182400114</v>
      </c>
      <c r="D102" s="5" t="s">
        <v>933</v>
      </c>
      <c r="E102" s="8">
        <v>167.4</v>
      </c>
      <c r="F102" s="5" t="s">
        <v>9</v>
      </c>
      <c r="G102" s="2" t="s">
        <v>95</v>
      </c>
    </row>
    <row r="103" spans="1:7" x14ac:dyDescent="0.25">
      <c r="A103" s="11">
        <v>89</v>
      </c>
      <c r="B103" s="5" t="s">
        <v>934</v>
      </c>
      <c r="C103" s="11">
        <v>98986410590</v>
      </c>
      <c r="D103" s="5" t="s">
        <v>935</v>
      </c>
      <c r="E103" s="8">
        <v>2293.39</v>
      </c>
      <c r="F103" s="5" t="s">
        <v>9</v>
      </c>
      <c r="G103" s="2" t="s">
        <v>20</v>
      </c>
    </row>
    <row r="104" spans="1:7" x14ac:dyDescent="0.25">
      <c r="A104" s="11">
        <v>90</v>
      </c>
      <c r="B104" s="5" t="s">
        <v>936</v>
      </c>
      <c r="C104" s="11">
        <v>51846314410</v>
      </c>
      <c r="D104" s="5" t="s">
        <v>937</v>
      </c>
      <c r="E104" s="8">
        <v>1042.04</v>
      </c>
      <c r="F104" s="5" t="s">
        <v>9</v>
      </c>
      <c r="G104" s="2" t="s">
        <v>147</v>
      </c>
    </row>
    <row r="105" spans="1:7" x14ac:dyDescent="0.25">
      <c r="A105" s="11">
        <v>91</v>
      </c>
      <c r="B105" s="5" t="s">
        <v>938</v>
      </c>
      <c r="C105" s="11">
        <v>90853737469</v>
      </c>
      <c r="D105" s="5" t="s">
        <v>939</v>
      </c>
      <c r="E105" s="8">
        <v>19647.150000000001</v>
      </c>
      <c r="F105" s="5" t="s">
        <v>9</v>
      </c>
      <c r="G105" s="2" t="s">
        <v>459</v>
      </c>
    </row>
    <row r="106" spans="1:7" x14ac:dyDescent="0.25">
      <c r="A106" s="11">
        <v>92</v>
      </c>
      <c r="B106" s="5" t="s">
        <v>299</v>
      </c>
      <c r="C106" s="11">
        <v>33813961569</v>
      </c>
      <c r="D106" s="5" t="s">
        <v>300</v>
      </c>
      <c r="E106" s="8">
        <f>66.17+58.75</f>
        <v>124.92</v>
      </c>
      <c r="F106" s="5" t="s">
        <v>9</v>
      </c>
      <c r="G106" s="2" t="s">
        <v>70</v>
      </c>
    </row>
    <row r="107" spans="1:7" x14ac:dyDescent="0.25">
      <c r="A107" s="11">
        <v>93</v>
      </c>
      <c r="B107" s="5" t="s">
        <v>148</v>
      </c>
      <c r="C107" s="11">
        <v>40779258479</v>
      </c>
      <c r="D107" s="5" t="s">
        <v>149</v>
      </c>
      <c r="E107" s="8">
        <f>10000</f>
        <v>10000</v>
      </c>
      <c r="F107" s="5" t="s">
        <v>9</v>
      </c>
      <c r="G107" s="2" t="s">
        <v>20</v>
      </c>
    </row>
    <row r="108" spans="1:7" x14ac:dyDescent="0.25">
      <c r="A108" s="11">
        <v>94</v>
      </c>
      <c r="B108" s="5" t="s">
        <v>654</v>
      </c>
      <c r="C108" s="11">
        <v>31174430130</v>
      </c>
      <c r="D108" s="5" t="s">
        <v>655</v>
      </c>
      <c r="E108" s="8">
        <f>384.49</f>
        <v>384.49</v>
      </c>
      <c r="F108" s="5" t="s">
        <v>9</v>
      </c>
      <c r="G108" s="2" t="s">
        <v>70</v>
      </c>
    </row>
    <row r="109" spans="1:7" x14ac:dyDescent="0.25">
      <c r="A109" s="11">
        <v>95</v>
      </c>
      <c r="B109" s="5" t="s">
        <v>67</v>
      </c>
      <c r="C109" s="11">
        <v>32179081874</v>
      </c>
      <c r="D109" s="5" t="s">
        <v>68</v>
      </c>
      <c r="E109" s="15">
        <f>84.88</f>
        <v>84.88</v>
      </c>
      <c r="F109" s="19" t="s">
        <v>9</v>
      </c>
      <c r="G109" s="25" t="s">
        <v>20</v>
      </c>
    </row>
    <row r="110" spans="1:7" x14ac:dyDescent="0.25">
      <c r="A110" s="11">
        <v>96</v>
      </c>
      <c r="B110" s="21" t="s">
        <v>71</v>
      </c>
      <c r="C110" s="22">
        <v>76173743169</v>
      </c>
      <c r="D110" s="21" t="s">
        <v>69</v>
      </c>
      <c r="E110" s="15">
        <f>33.18+755.05</f>
        <v>788.2299999999999</v>
      </c>
      <c r="F110" s="21" t="s">
        <v>9</v>
      </c>
      <c r="G110" s="25" t="s">
        <v>490</v>
      </c>
    </row>
    <row r="111" spans="1:7" x14ac:dyDescent="0.25">
      <c r="A111" s="11">
        <v>97</v>
      </c>
      <c r="B111" s="5" t="s">
        <v>491</v>
      </c>
      <c r="C111" s="12" t="s">
        <v>492</v>
      </c>
      <c r="D111" s="5" t="s">
        <v>493</v>
      </c>
      <c r="E111" s="8">
        <v>1161.6500000000001</v>
      </c>
      <c r="F111" s="5" t="s">
        <v>9</v>
      </c>
      <c r="G111" s="2" t="s">
        <v>494</v>
      </c>
    </row>
    <row r="112" spans="1:7" x14ac:dyDescent="0.25">
      <c r="A112" s="11">
        <v>98</v>
      </c>
      <c r="B112" s="24" t="s">
        <v>73</v>
      </c>
      <c r="C112" s="46">
        <v>34976993601</v>
      </c>
      <c r="D112" s="24" t="s">
        <v>74</v>
      </c>
      <c r="E112" s="17">
        <f>357.46+411.58+644.13</f>
        <v>1413.17</v>
      </c>
      <c r="F112" s="24" t="s">
        <v>9</v>
      </c>
      <c r="G112" s="29" t="s">
        <v>72</v>
      </c>
    </row>
    <row r="113" spans="1:7" x14ac:dyDescent="0.25">
      <c r="A113" s="11">
        <v>99</v>
      </c>
      <c r="B113" s="5" t="s">
        <v>15</v>
      </c>
      <c r="C113" s="11" t="s">
        <v>15</v>
      </c>
      <c r="D113" s="5" t="s">
        <v>15</v>
      </c>
      <c r="E113" s="8">
        <v>1752.76</v>
      </c>
      <c r="F113" s="5" t="s">
        <v>9</v>
      </c>
      <c r="G113" s="2" t="s">
        <v>75</v>
      </c>
    </row>
    <row r="114" spans="1:7" x14ac:dyDescent="0.25">
      <c r="A114" s="11">
        <v>100</v>
      </c>
      <c r="B114" s="5" t="s">
        <v>15</v>
      </c>
      <c r="C114" s="11" t="s">
        <v>15</v>
      </c>
      <c r="D114" s="5" t="s">
        <v>15</v>
      </c>
      <c r="E114" s="8">
        <f>47724.45+47.78</f>
        <v>47772.229999999996</v>
      </c>
      <c r="F114" s="5" t="s">
        <v>9</v>
      </c>
      <c r="G114" s="2" t="s">
        <v>76</v>
      </c>
    </row>
    <row r="115" spans="1:7" x14ac:dyDescent="0.25">
      <c r="A115" s="11">
        <v>101</v>
      </c>
      <c r="B115" s="5" t="s">
        <v>15</v>
      </c>
      <c r="C115" s="11" t="s">
        <v>15</v>
      </c>
      <c r="D115" s="5" t="s">
        <v>15</v>
      </c>
      <c r="E115" s="8">
        <f>1200+1200</f>
        <v>2400</v>
      </c>
      <c r="F115" s="5" t="s">
        <v>9</v>
      </c>
      <c r="G115" s="2" t="s">
        <v>77</v>
      </c>
    </row>
    <row r="116" spans="1:7" x14ac:dyDescent="0.25">
      <c r="A116" s="11">
        <v>102</v>
      </c>
      <c r="B116" s="5" t="s">
        <v>361</v>
      </c>
      <c r="C116" s="11">
        <v>58421021869</v>
      </c>
      <c r="D116" s="5" t="s">
        <v>362</v>
      </c>
      <c r="E116" s="8">
        <f>2000+1000+5748.5+2000+2000+1000+2000</f>
        <v>15748.5</v>
      </c>
      <c r="F116" s="5" t="s">
        <v>9</v>
      </c>
      <c r="G116" s="2" t="s">
        <v>20</v>
      </c>
    </row>
    <row r="117" spans="1:7" x14ac:dyDescent="0.25">
      <c r="A117" s="11">
        <v>103</v>
      </c>
      <c r="B117" s="5" t="s">
        <v>779</v>
      </c>
      <c r="C117" s="11">
        <v>31190261041</v>
      </c>
      <c r="D117" s="5" t="s">
        <v>780</v>
      </c>
      <c r="E117" s="8">
        <v>32</v>
      </c>
      <c r="F117" s="5" t="s">
        <v>9</v>
      </c>
      <c r="G117" s="2" t="s">
        <v>20</v>
      </c>
    </row>
    <row r="118" spans="1:7" x14ac:dyDescent="0.25">
      <c r="A118" s="11">
        <v>104</v>
      </c>
      <c r="B118" s="21" t="s">
        <v>78</v>
      </c>
      <c r="C118" s="22">
        <v>70133616033</v>
      </c>
      <c r="D118" s="21" t="s">
        <v>81</v>
      </c>
      <c r="E118" s="8">
        <f>2573.98+2509.15</f>
        <v>5083.13</v>
      </c>
      <c r="F118" s="21" t="s">
        <v>9</v>
      </c>
      <c r="G118" s="2" t="s">
        <v>150</v>
      </c>
    </row>
    <row r="119" spans="1:7" ht="15.75" thickBot="1" x14ac:dyDescent="0.3">
      <c r="A119" s="11">
        <v>105</v>
      </c>
      <c r="B119" s="21" t="s">
        <v>79</v>
      </c>
      <c r="C119" s="22">
        <v>81793146560</v>
      </c>
      <c r="D119" s="21" t="s">
        <v>80</v>
      </c>
      <c r="E119" s="15">
        <f>2329+2346.03+17.41</f>
        <v>4692.4400000000005</v>
      </c>
      <c r="F119" s="19" t="s">
        <v>9</v>
      </c>
      <c r="G119" s="25" t="s">
        <v>150</v>
      </c>
    </row>
    <row r="120" spans="1:7" x14ac:dyDescent="0.25">
      <c r="A120" s="82">
        <v>106</v>
      </c>
      <c r="B120" s="70" t="s">
        <v>85</v>
      </c>
      <c r="C120" s="82" t="s">
        <v>303</v>
      </c>
      <c r="D120" s="84" t="s">
        <v>303</v>
      </c>
      <c r="E120" s="16">
        <v>1976.24</v>
      </c>
      <c r="F120" s="70" t="s">
        <v>9</v>
      </c>
      <c r="G120" s="26" t="s">
        <v>940</v>
      </c>
    </row>
    <row r="121" spans="1:7" ht="15.75" thickBot="1" x14ac:dyDescent="0.3">
      <c r="A121" s="83"/>
      <c r="B121" s="71"/>
      <c r="C121" s="83"/>
      <c r="D121" s="85"/>
      <c r="E121" s="18">
        <v>1890</v>
      </c>
      <c r="F121" s="71"/>
      <c r="G121" s="27" t="s">
        <v>86</v>
      </c>
    </row>
    <row r="122" spans="1:7" x14ac:dyDescent="0.25">
      <c r="A122" s="31">
        <v>107</v>
      </c>
      <c r="B122" s="28" t="s">
        <v>192</v>
      </c>
      <c r="C122" s="31">
        <v>52641439848</v>
      </c>
      <c r="D122" s="28" t="s">
        <v>193</v>
      </c>
      <c r="E122" s="17">
        <v>145.25</v>
      </c>
      <c r="F122" s="28" t="s">
        <v>9</v>
      </c>
      <c r="G122" s="29" t="s">
        <v>20</v>
      </c>
    </row>
    <row r="123" spans="1:7" x14ac:dyDescent="0.25">
      <c r="A123" s="11">
        <v>108</v>
      </c>
      <c r="B123" s="5" t="s">
        <v>941</v>
      </c>
      <c r="C123" s="11">
        <v>74867487620</v>
      </c>
      <c r="D123" s="5" t="s">
        <v>168</v>
      </c>
      <c r="E123" s="8">
        <f>4000+692.96+98.94+30.78+3808.56+3246.93+1865.25</f>
        <v>13743.42</v>
      </c>
      <c r="F123" s="5" t="s">
        <v>9</v>
      </c>
      <c r="G123" s="2" t="s">
        <v>20</v>
      </c>
    </row>
    <row r="124" spans="1:7" x14ac:dyDescent="0.25">
      <c r="A124" s="11">
        <v>109</v>
      </c>
      <c r="B124" s="5" t="s">
        <v>82</v>
      </c>
      <c r="C124" s="11">
        <v>46163832762</v>
      </c>
      <c r="D124" s="5" t="s">
        <v>111</v>
      </c>
      <c r="E124" s="8">
        <v>288.25</v>
      </c>
      <c r="F124" s="5" t="s">
        <v>9</v>
      </c>
      <c r="G124" s="2" t="s">
        <v>70</v>
      </c>
    </row>
    <row r="125" spans="1:7" x14ac:dyDescent="0.25">
      <c r="A125" s="11">
        <v>110</v>
      </c>
      <c r="B125" s="5" t="s">
        <v>83</v>
      </c>
      <c r="C125" s="11">
        <v>41412434130</v>
      </c>
      <c r="D125" s="5" t="s">
        <v>110</v>
      </c>
      <c r="E125" s="8">
        <v>329.28</v>
      </c>
      <c r="F125" s="5" t="s">
        <v>9</v>
      </c>
      <c r="G125" s="2" t="s">
        <v>70</v>
      </c>
    </row>
    <row r="126" spans="1:7" x14ac:dyDescent="0.25">
      <c r="A126" s="11">
        <v>111</v>
      </c>
      <c r="B126" s="5" t="s">
        <v>773</v>
      </c>
      <c r="C126" s="11" t="s">
        <v>774</v>
      </c>
      <c r="D126" s="5" t="s">
        <v>775</v>
      </c>
      <c r="E126" s="8">
        <v>260.16000000000003</v>
      </c>
      <c r="F126" s="5" t="s">
        <v>9</v>
      </c>
      <c r="G126" s="2" t="s">
        <v>20</v>
      </c>
    </row>
    <row r="127" spans="1:7" x14ac:dyDescent="0.25">
      <c r="A127" s="11">
        <v>112</v>
      </c>
      <c r="B127" s="5" t="s">
        <v>849</v>
      </c>
      <c r="C127" s="11">
        <v>46490936145</v>
      </c>
      <c r="D127" s="5" t="s">
        <v>850</v>
      </c>
      <c r="E127" s="8">
        <v>290.5</v>
      </c>
      <c r="F127" s="5" t="s">
        <v>9</v>
      </c>
      <c r="G127" s="2" t="s">
        <v>20</v>
      </c>
    </row>
    <row r="128" spans="1:7" x14ac:dyDescent="0.25">
      <c r="A128" s="11">
        <v>113</v>
      </c>
      <c r="B128" s="19" t="s">
        <v>942</v>
      </c>
      <c r="C128" s="35">
        <v>80001002923</v>
      </c>
      <c r="D128" s="19" t="s">
        <v>943</v>
      </c>
      <c r="E128" s="15">
        <v>179.25</v>
      </c>
      <c r="F128" s="19" t="s">
        <v>9</v>
      </c>
      <c r="G128" s="2" t="s">
        <v>20</v>
      </c>
    </row>
    <row r="129" spans="1:7" x14ac:dyDescent="0.25">
      <c r="A129" s="11">
        <v>114</v>
      </c>
      <c r="B129" s="36" t="s">
        <v>261</v>
      </c>
      <c r="C129" s="37">
        <v>79378753915</v>
      </c>
      <c r="D129" s="36" t="s">
        <v>262</v>
      </c>
      <c r="E129" s="8">
        <v>674.38</v>
      </c>
      <c r="F129" s="5" t="s">
        <v>9</v>
      </c>
      <c r="G129" s="2" t="s">
        <v>20</v>
      </c>
    </row>
    <row r="130" spans="1:7" x14ac:dyDescent="0.25">
      <c r="A130" s="11">
        <v>115</v>
      </c>
      <c r="B130" s="5" t="s">
        <v>944</v>
      </c>
      <c r="C130" s="11">
        <v>29050776382</v>
      </c>
      <c r="D130" s="5" t="s">
        <v>945</v>
      </c>
      <c r="E130" s="8">
        <v>4101.75</v>
      </c>
      <c r="F130" s="5" t="s">
        <v>9</v>
      </c>
      <c r="G130" s="2" t="s">
        <v>459</v>
      </c>
    </row>
    <row r="131" spans="1:7" x14ac:dyDescent="0.25">
      <c r="A131" s="11">
        <v>116</v>
      </c>
      <c r="B131" s="5" t="s">
        <v>946</v>
      </c>
      <c r="C131" s="11">
        <v>18458216879</v>
      </c>
      <c r="D131" s="5" t="s">
        <v>947</v>
      </c>
      <c r="E131" s="8">
        <v>199.58</v>
      </c>
      <c r="F131" s="5" t="s">
        <v>9</v>
      </c>
      <c r="G131" s="2" t="s">
        <v>948</v>
      </c>
    </row>
    <row r="132" spans="1:7" x14ac:dyDescent="0.25">
      <c r="A132" s="11">
        <v>117</v>
      </c>
      <c r="B132" s="5" t="s">
        <v>949</v>
      </c>
      <c r="C132" s="12" t="s">
        <v>950</v>
      </c>
      <c r="D132" s="5" t="s">
        <v>951</v>
      </c>
      <c r="E132" s="8">
        <v>4750</v>
      </c>
      <c r="F132" s="5" t="s">
        <v>9</v>
      </c>
      <c r="G132" s="2" t="s">
        <v>256</v>
      </c>
    </row>
    <row r="133" spans="1:7" x14ac:dyDescent="0.25">
      <c r="A133" s="11">
        <v>118</v>
      </c>
      <c r="B133" s="5" t="s">
        <v>952</v>
      </c>
      <c r="C133" s="11" t="s">
        <v>953</v>
      </c>
      <c r="D133" s="5" t="s">
        <v>954</v>
      </c>
      <c r="E133" s="8">
        <f>921.2</f>
        <v>921.2</v>
      </c>
      <c r="F133" s="5" t="s">
        <v>9</v>
      </c>
      <c r="G133" s="2" t="s">
        <v>20</v>
      </c>
    </row>
    <row r="134" spans="1:7" x14ac:dyDescent="0.25">
      <c r="A134" s="11">
        <v>119</v>
      </c>
      <c r="B134" s="5" t="s">
        <v>855</v>
      </c>
      <c r="C134" s="12" t="s">
        <v>856</v>
      </c>
      <c r="D134" s="5" t="s">
        <v>857</v>
      </c>
      <c r="E134" s="8">
        <v>87.25</v>
      </c>
      <c r="F134" s="5" t="s">
        <v>9</v>
      </c>
      <c r="G134" s="2" t="s">
        <v>20</v>
      </c>
    </row>
    <row r="135" spans="1:7" x14ac:dyDescent="0.25">
      <c r="A135" s="11">
        <v>120</v>
      </c>
      <c r="B135" s="5" t="s">
        <v>556</v>
      </c>
      <c r="C135" s="11" t="s">
        <v>557</v>
      </c>
      <c r="D135" s="5" t="s">
        <v>558</v>
      </c>
      <c r="E135" s="8">
        <v>30252.87</v>
      </c>
      <c r="F135" s="5" t="s">
        <v>9</v>
      </c>
      <c r="G135" s="2" t="s">
        <v>20</v>
      </c>
    </row>
    <row r="136" spans="1:7" x14ac:dyDescent="0.25">
      <c r="A136" s="11">
        <v>121</v>
      </c>
      <c r="B136" s="5" t="s">
        <v>955</v>
      </c>
      <c r="C136" s="11" t="s">
        <v>956</v>
      </c>
      <c r="D136" s="5" t="s">
        <v>957</v>
      </c>
      <c r="E136" s="8">
        <v>137.6</v>
      </c>
      <c r="F136" s="5" t="s">
        <v>9</v>
      </c>
      <c r="G136" s="2" t="s">
        <v>20</v>
      </c>
    </row>
    <row r="137" spans="1:7" x14ac:dyDescent="0.25">
      <c r="A137" s="11">
        <v>122</v>
      </c>
      <c r="B137" s="19" t="s">
        <v>813</v>
      </c>
      <c r="C137" s="35">
        <v>56290033854</v>
      </c>
      <c r="D137" s="19" t="s">
        <v>814</v>
      </c>
      <c r="E137" s="8">
        <v>50.63</v>
      </c>
      <c r="F137" s="5" t="s">
        <v>9</v>
      </c>
      <c r="G137" s="2" t="s">
        <v>682</v>
      </c>
    </row>
    <row r="138" spans="1:7" x14ac:dyDescent="0.25">
      <c r="A138" s="11">
        <v>123</v>
      </c>
      <c r="B138" s="19" t="s">
        <v>958</v>
      </c>
      <c r="C138" s="30">
        <v>39881074944</v>
      </c>
      <c r="D138" s="19" t="s">
        <v>959</v>
      </c>
      <c r="E138" s="8">
        <f>440+131.78+51.7</f>
        <v>623.48</v>
      </c>
      <c r="F138" s="5" t="s">
        <v>9</v>
      </c>
      <c r="G138" s="2" t="s">
        <v>20</v>
      </c>
    </row>
    <row r="139" spans="1:7" x14ac:dyDescent="0.25">
      <c r="A139" s="11">
        <v>124</v>
      </c>
      <c r="B139" s="5" t="s">
        <v>447</v>
      </c>
      <c r="C139" s="11">
        <v>75531206229</v>
      </c>
      <c r="D139" s="5" t="s">
        <v>258</v>
      </c>
      <c r="E139" s="8">
        <v>2365</v>
      </c>
      <c r="F139" s="5" t="s">
        <v>9</v>
      </c>
      <c r="G139" s="2" t="s">
        <v>20</v>
      </c>
    </row>
    <row r="140" spans="1:7" x14ac:dyDescent="0.25">
      <c r="A140" s="11">
        <v>125</v>
      </c>
      <c r="B140" s="5" t="s">
        <v>960</v>
      </c>
      <c r="C140" s="11">
        <v>55583164585</v>
      </c>
      <c r="D140" s="5" t="s">
        <v>961</v>
      </c>
      <c r="E140" s="8">
        <v>201.1</v>
      </c>
      <c r="F140" s="5" t="s">
        <v>9</v>
      </c>
      <c r="G140" s="2" t="s">
        <v>95</v>
      </c>
    </row>
    <row r="141" spans="1:7" x14ac:dyDescent="0.25">
      <c r="A141" s="11">
        <v>126</v>
      </c>
      <c r="B141" s="5" t="s">
        <v>216</v>
      </c>
      <c r="C141" s="11">
        <v>85611744662</v>
      </c>
      <c r="D141" s="5" t="s">
        <v>217</v>
      </c>
      <c r="E141" s="8">
        <f>455</f>
        <v>455</v>
      </c>
      <c r="F141" s="5" t="s">
        <v>9</v>
      </c>
      <c r="G141" s="2" t="s">
        <v>20</v>
      </c>
    </row>
    <row r="142" spans="1:7" x14ac:dyDescent="0.25">
      <c r="A142" s="11">
        <v>127</v>
      </c>
      <c r="B142" s="19" t="s">
        <v>602</v>
      </c>
      <c r="C142" s="30">
        <v>89102192044</v>
      </c>
      <c r="D142" s="19" t="s">
        <v>603</v>
      </c>
      <c r="E142" s="15">
        <f>280+296.5</f>
        <v>576.5</v>
      </c>
      <c r="F142" s="19" t="s">
        <v>9</v>
      </c>
      <c r="G142" s="25" t="s">
        <v>243</v>
      </c>
    </row>
    <row r="143" spans="1:7" x14ac:dyDescent="0.25">
      <c r="A143" s="11">
        <v>128</v>
      </c>
      <c r="B143" s="36" t="s">
        <v>101</v>
      </c>
      <c r="C143" s="37">
        <v>71642207963</v>
      </c>
      <c r="D143" s="36" t="s">
        <v>124</v>
      </c>
      <c r="E143" s="8">
        <f>21.69</f>
        <v>21.69</v>
      </c>
      <c r="F143" s="5" t="s">
        <v>9</v>
      </c>
      <c r="G143" s="2" t="s">
        <v>20</v>
      </c>
    </row>
    <row r="144" spans="1:7" x14ac:dyDescent="0.25">
      <c r="A144" s="11">
        <v>129</v>
      </c>
      <c r="B144" s="5" t="s">
        <v>270</v>
      </c>
      <c r="C144" s="11">
        <v>56862872842</v>
      </c>
      <c r="D144" s="5" t="s">
        <v>277</v>
      </c>
      <c r="E144" s="8">
        <v>587.5</v>
      </c>
      <c r="F144" s="5" t="s">
        <v>9</v>
      </c>
      <c r="G144" s="2" t="s">
        <v>20</v>
      </c>
    </row>
    <row r="145" spans="1:7" x14ac:dyDescent="0.25">
      <c r="A145" s="11">
        <v>130</v>
      </c>
      <c r="B145" s="5" t="s">
        <v>962</v>
      </c>
      <c r="C145" s="11">
        <v>60916661214</v>
      </c>
      <c r="D145" s="5" t="s">
        <v>963</v>
      </c>
      <c r="E145" s="8">
        <v>69.55</v>
      </c>
      <c r="F145" s="5" t="s">
        <v>9</v>
      </c>
      <c r="G145" s="2" t="s">
        <v>95</v>
      </c>
    </row>
    <row r="146" spans="1:7" x14ac:dyDescent="0.25">
      <c r="A146" s="11">
        <v>131</v>
      </c>
      <c r="B146" s="5" t="s">
        <v>306</v>
      </c>
      <c r="C146" s="11">
        <v>69927324836</v>
      </c>
      <c r="D146" s="5" t="s">
        <v>307</v>
      </c>
      <c r="E146" s="8">
        <f>1187.69+1479.85</f>
        <v>2667.54</v>
      </c>
      <c r="F146" s="5" t="s">
        <v>9</v>
      </c>
      <c r="G146" s="2" t="s">
        <v>20</v>
      </c>
    </row>
    <row r="147" spans="1:7" x14ac:dyDescent="0.25">
      <c r="A147" s="11">
        <v>132</v>
      </c>
      <c r="B147" s="5" t="s">
        <v>964</v>
      </c>
      <c r="C147" s="11">
        <v>71564583769</v>
      </c>
      <c r="D147" s="5" t="s">
        <v>965</v>
      </c>
      <c r="E147" s="8">
        <v>112.18</v>
      </c>
      <c r="F147" s="5" t="s">
        <v>9</v>
      </c>
      <c r="G147" s="2" t="s">
        <v>20</v>
      </c>
    </row>
    <row r="148" spans="1:7" x14ac:dyDescent="0.25">
      <c r="A148" s="11">
        <v>133</v>
      </c>
      <c r="B148" s="5" t="s">
        <v>739</v>
      </c>
      <c r="C148" s="11" t="s">
        <v>740</v>
      </c>
      <c r="D148" s="5" t="s">
        <v>741</v>
      </c>
      <c r="E148" s="8">
        <v>4972</v>
      </c>
      <c r="F148" s="5" t="s">
        <v>9</v>
      </c>
      <c r="G148" s="2" t="s">
        <v>20</v>
      </c>
    </row>
    <row r="149" spans="1:7" x14ac:dyDescent="0.25">
      <c r="A149" s="11">
        <v>134</v>
      </c>
      <c r="B149" s="5" t="s">
        <v>966</v>
      </c>
      <c r="C149" s="11">
        <v>88470929840</v>
      </c>
      <c r="D149" s="5" t="s">
        <v>967</v>
      </c>
      <c r="E149" s="8">
        <v>72.900000000000006</v>
      </c>
      <c r="F149" s="5" t="s">
        <v>9</v>
      </c>
      <c r="G149" s="2" t="s">
        <v>20</v>
      </c>
    </row>
    <row r="150" spans="1:7" x14ac:dyDescent="0.25">
      <c r="A150" s="11">
        <v>135</v>
      </c>
      <c r="B150" s="5" t="s">
        <v>349</v>
      </c>
      <c r="C150" s="11">
        <v>80805858278</v>
      </c>
      <c r="D150" s="5" t="s">
        <v>138</v>
      </c>
      <c r="E150" s="8">
        <v>50.01</v>
      </c>
      <c r="F150" s="5" t="s">
        <v>9</v>
      </c>
      <c r="G150" s="2" t="s">
        <v>43</v>
      </c>
    </row>
    <row r="151" spans="1:7" x14ac:dyDescent="0.25">
      <c r="A151" s="11">
        <v>136</v>
      </c>
      <c r="B151" s="5" t="s">
        <v>636</v>
      </c>
      <c r="C151" s="12" t="s">
        <v>637</v>
      </c>
      <c r="D151" s="5" t="s">
        <v>638</v>
      </c>
      <c r="E151" s="8">
        <v>723.88</v>
      </c>
      <c r="F151" s="5" t="s">
        <v>9</v>
      </c>
      <c r="G151" s="2" t="s">
        <v>20</v>
      </c>
    </row>
    <row r="152" spans="1:7" x14ac:dyDescent="0.25">
      <c r="A152" s="11">
        <v>137</v>
      </c>
      <c r="B152" s="5" t="s">
        <v>968</v>
      </c>
      <c r="C152" s="11">
        <v>15429488788</v>
      </c>
      <c r="D152" s="5" t="s">
        <v>969</v>
      </c>
      <c r="E152" s="8">
        <f>1922+961</f>
        <v>2883</v>
      </c>
      <c r="F152" s="5" t="s">
        <v>9</v>
      </c>
      <c r="G152" s="2" t="s">
        <v>970</v>
      </c>
    </row>
    <row r="153" spans="1:7" x14ac:dyDescent="0.25">
      <c r="A153" s="11">
        <v>138</v>
      </c>
      <c r="B153" s="5" t="s">
        <v>301</v>
      </c>
      <c r="C153" s="11">
        <v>85821130368</v>
      </c>
      <c r="D153" s="5" t="s">
        <v>302</v>
      </c>
      <c r="E153" s="8">
        <f>16.6</f>
        <v>16.600000000000001</v>
      </c>
      <c r="F153" s="24" t="s">
        <v>9</v>
      </c>
      <c r="G153" s="2" t="s">
        <v>96</v>
      </c>
    </row>
    <row r="154" spans="1:7" x14ac:dyDescent="0.25">
      <c r="A154" s="11">
        <v>139</v>
      </c>
      <c r="B154" s="5" t="s">
        <v>767</v>
      </c>
      <c r="C154" s="12" t="s">
        <v>768</v>
      </c>
      <c r="D154" s="5" t="s">
        <v>769</v>
      </c>
      <c r="E154" s="8">
        <f>130</f>
        <v>130</v>
      </c>
      <c r="F154" s="5" t="s">
        <v>9</v>
      </c>
      <c r="G154" s="2" t="s">
        <v>305</v>
      </c>
    </row>
    <row r="155" spans="1:7" x14ac:dyDescent="0.25">
      <c r="A155" s="11">
        <v>140</v>
      </c>
      <c r="B155" s="5" t="s">
        <v>547</v>
      </c>
      <c r="C155" s="12" t="s">
        <v>548</v>
      </c>
      <c r="D155" s="5" t="s">
        <v>549</v>
      </c>
      <c r="E155" s="8">
        <f>127.5+78.75+127.5</f>
        <v>333.75</v>
      </c>
      <c r="F155" s="5" t="s">
        <v>9</v>
      </c>
      <c r="G155" s="2" t="s">
        <v>550</v>
      </c>
    </row>
    <row r="156" spans="1:7" x14ac:dyDescent="0.25">
      <c r="A156" s="11">
        <v>141</v>
      </c>
      <c r="B156" s="5" t="s">
        <v>971</v>
      </c>
      <c r="C156" s="11">
        <v>79069474349</v>
      </c>
      <c r="D156" s="5" t="s">
        <v>972</v>
      </c>
      <c r="E156" s="8">
        <v>35.32</v>
      </c>
      <c r="F156" s="5" t="s">
        <v>9</v>
      </c>
      <c r="G156" s="2" t="s">
        <v>948</v>
      </c>
    </row>
    <row r="157" spans="1:7" x14ac:dyDescent="0.25">
      <c r="A157" s="11">
        <v>142</v>
      </c>
      <c r="B157" s="5" t="s">
        <v>973</v>
      </c>
      <c r="C157" s="11">
        <v>57968446706</v>
      </c>
      <c r="D157" s="5" t="s">
        <v>974</v>
      </c>
      <c r="E157" s="8">
        <v>121.13</v>
      </c>
      <c r="F157" s="5" t="s">
        <v>9</v>
      </c>
      <c r="G157" s="2" t="s">
        <v>147</v>
      </c>
    </row>
    <row r="158" spans="1:7" x14ac:dyDescent="0.25">
      <c r="A158" s="11">
        <v>143</v>
      </c>
      <c r="B158" s="36" t="s">
        <v>792</v>
      </c>
      <c r="C158" s="37">
        <v>89984971143</v>
      </c>
      <c r="D158" s="36" t="s">
        <v>793</v>
      </c>
      <c r="E158" s="8">
        <f>190.37+81.25</f>
        <v>271.62</v>
      </c>
      <c r="F158" s="5" t="s">
        <v>9</v>
      </c>
      <c r="G158" s="2" t="s">
        <v>20</v>
      </c>
    </row>
    <row r="159" spans="1:7" x14ac:dyDescent="0.25">
      <c r="A159" s="11">
        <v>144</v>
      </c>
      <c r="B159" s="5" t="s">
        <v>707</v>
      </c>
      <c r="C159" s="11">
        <v>80523849112</v>
      </c>
      <c r="D159" s="5" t="s">
        <v>975</v>
      </c>
      <c r="E159" s="8">
        <f>247.8+115.43</f>
        <v>363.23</v>
      </c>
      <c r="F159" s="5" t="s">
        <v>9</v>
      </c>
      <c r="G159" s="2" t="s">
        <v>20</v>
      </c>
    </row>
    <row r="160" spans="1:7" x14ac:dyDescent="0.25">
      <c r="A160" s="11">
        <v>145</v>
      </c>
      <c r="B160" s="5" t="s">
        <v>84</v>
      </c>
      <c r="C160" s="12" t="s">
        <v>112</v>
      </c>
      <c r="D160" s="5" t="s">
        <v>113</v>
      </c>
      <c r="E160" s="8">
        <v>338.62</v>
      </c>
      <c r="F160" s="5" t="s">
        <v>9</v>
      </c>
      <c r="G160" s="2" t="s">
        <v>70</v>
      </c>
    </row>
    <row r="161" spans="1:7" x14ac:dyDescent="0.25">
      <c r="A161" s="11">
        <v>146</v>
      </c>
      <c r="B161" s="5" t="s">
        <v>500</v>
      </c>
      <c r="C161" s="11">
        <v>85584865987</v>
      </c>
      <c r="D161" s="5" t="s">
        <v>501</v>
      </c>
      <c r="E161" s="8">
        <f>1302.35+257.48</f>
        <v>1559.83</v>
      </c>
      <c r="F161" s="5" t="s">
        <v>9</v>
      </c>
      <c r="G161" s="2" t="s">
        <v>70</v>
      </c>
    </row>
    <row r="162" spans="1:7" x14ac:dyDescent="0.25">
      <c r="A162" s="11">
        <v>147</v>
      </c>
      <c r="B162" s="5" t="s">
        <v>486</v>
      </c>
      <c r="C162" s="11">
        <v>11374156664</v>
      </c>
      <c r="D162" s="5" t="s">
        <v>487</v>
      </c>
      <c r="E162" s="8">
        <f>7.5+39.92</f>
        <v>47.42</v>
      </c>
      <c r="F162" s="5" t="s">
        <v>9</v>
      </c>
      <c r="G162" s="2" t="s">
        <v>20</v>
      </c>
    </row>
    <row r="163" spans="1:7" x14ac:dyDescent="0.25">
      <c r="A163" s="11">
        <v>148</v>
      </c>
      <c r="B163" s="5" t="s">
        <v>160</v>
      </c>
      <c r="C163" s="11" t="s">
        <v>162</v>
      </c>
      <c r="D163" s="5" t="s">
        <v>161</v>
      </c>
      <c r="E163" s="8">
        <v>746</v>
      </c>
      <c r="F163" s="5" t="s">
        <v>9</v>
      </c>
      <c r="G163" s="2" t="s">
        <v>20</v>
      </c>
    </row>
    <row r="164" spans="1:7" x14ac:dyDescent="0.25">
      <c r="A164" s="11">
        <v>149</v>
      </c>
      <c r="B164" s="5" t="s">
        <v>711</v>
      </c>
      <c r="C164" s="12">
        <v>83910501982</v>
      </c>
      <c r="D164" s="5" t="s">
        <v>712</v>
      </c>
      <c r="E164" s="8">
        <f>65.21+23.33</f>
        <v>88.539999999999992</v>
      </c>
      <c r="F164" s="5" t="s">
        <v>9</v>
      </c>
      <c r="G164" s="2" t="s">
        <v>20</v>
      </c>
    </row>
    <row r="165" spans="1:7" x14ac:dyDescent="0.25">
      <c r="A165" s="11">
        <v>150</v>
      </c>
      <c r="B165" s="5" t="s">
        <v>807</v>
      </c>
      <c r="C165" s="11">
        <v>23035642859</v>
      </c>
      <c r="D165" s="5" t="s">
        <v>808</v>
      </c>
      <c r="E165" s="8">
        <f>316.6+312.36</f>
        <v>628.96</v>
      </c>
      <c r="F165" s="5" t="s">
        <v>9</v>
      </c>
      <c r="G165" s="2" t="s">
        <v>283</v>
      </c>
    </row>
    <row r="166" spans="1:7" x14ac:dyDescent="0.25">
      <c r="A166" s="11">
        <v>151</v>
      </c>
      <c r="B166" s="5" t="s">
        <v>976</v>
      </c>
      <c r="C166" s="11">
        <v>61155890230</v>
      </c>
      <c r="D166" s="5" t="s">
        <v>977</v>
      </c>
      <c r="E166" s="8">
        <v>3142.13</v>
      </c>
      <c r="F166" s="5" t="s">
        <v>9</v>
      </c>
      <c r="G166" s="2" t="s">
        <v>20</v>
      </c>
    </row>
    <row r="167" spans="1:7" x14ac:dyDescent="0.25">
      <c r="A167" s="11">
        <v>152</v>
      </c>
      <c r="B167" s="5" t="s">
        <v>978</v>
      </c>
      <c r="C167" s="11">
        <v>63102138408</v>
      </c>
      <c r="D167" s="5" t="s">
        <v>979</v>
      </c>
      <c r="E167" s="8">
        <v>31.25</v>
      </c>
      <c r="F167" s="5" t="s">
        <v>9</v>
      </c>
      <c r="G167" s="2" t="s">
        <v>147</v>
      </c>
    </row>
    <row r="168" spans="1:7" x14ac:dyDescent="0.25">
      <c r="A168" s="11">
        <v>153</v>
      </c>
      <c r="B168" s="5" t="s">
        <v>980</v>
      </c>
      <c r="C168" s="11">
        <v>55175013491</v>
      </c>
      <c r="D168" s="5" t="s">
        <v>981</v>
      </c>
      <c r="E168" s="8">
        <f>1280.29</f>
        <v>1280.29</v>
      </c>
      <c r="F168" s="5" t="s">
        <v>9</v>
      </c>
      <c r="G168" s="2" t="s">
        <v>20</v>
      </c>
    </row>
    <row r="169" spans="1:7" x14ac:dyDescent="0.25">
      <c r="A169" s="11">
        <v>154</v>
      </c>
      <c r="B169" s="28" t="s">
        <v>153</v>
      </c>
      <c r="C169" s="31">
        <v>83416546499</v>
      </c>
      <c r="D169" s="28" t="s">
        <v>156</v>
      </c>
      <c r="E169" s="17">
        <v>29.17</v>
      </c>
      <c r="F169" s="28" t="s">
        <v>9</v>
      </c>
      <c r="G169" s="29" t="s">
        <v>43</v>
      </c>
    </row>
    <row r="170" spans="1:7" x14ac:dyDescent="0.25">
      <c r="A170" s="11">
        <v>155</v>
      </c>
      <c r="B170" s="5" t="s">
        <v>982</v>
      </c>
      <c r="C170" s="11">
        <v>52639870872</v>
      </c>
      <c r="D170" s="5" t="s">
        <v>983</v>
      </c>
      <c r="E170" s="8">
        <f>421.13</f>
        <v>421.13</v>
      </c>
      <c r="F170" s="5" t="s">
        <v>9</v>
      </c>
      <c r="G170" s="2" t="s">
        <v>20</v>
      </c>
    </row>
    <row r="171" spans="1:7" x14ac:dyDescent="0.25">
      <c r="A171" s="11">
        <v>156</v>
      </c>
      <c r="B171" s="5" t="s">
        <v>271</v>
      </c>
      <c r="C171" s="11">
        <v>64691033428</v>
      </c>
      <c r="D171" s="5" t="s">
        <v>278</v>
      </c>
      <c r="E171" s="8">
        <f>391.8</f>
        <v>391.8</v>
      </c>
      <c r="F171" s="5" t="s">
        <v>9</v>
      </c>
      <c r="G171" s="2" t="s">
        <v>20</v>
      </c>
    </row>
    <row r="172" spans="1:7" x14ac:dyDescent="0.25">
      <c r="A172" s="11">
        <v>157</v>
      </c>
      <c r="B172" s="5" t="s">
        <v>620</v>
      </c>
      <c r="C172" s="11">
        <v>33548604975</v>
      </c>
      <c r="D172" s="5" t="s">
        <v>621</v>
      </c>
      <c r="E172" s="8">
        <f>67.38+7.88</f>
        <v>75.259999999999991</v>
      </c>
      <c r="F172" s="5" t="s">
        <v>9</v>
      </c>
      <c r="G172" s="2" t="s">
        <v>20</v>
      </c>
    </row>
    <row r="173" spans="1:7" x14ac:dyDescent="0.25">
      <c r="A173" s="11">
        <v>158</v>
      </c>
      <c r="B173" s="5" t="s">
        <v>984</v>
      </c>
      <c r="C173" s="11">
        <v>51469557335</v>
      </c>
      <c r="D173" s="5" t="s">
        <v>985</v>
      </c>
      <c r="E173" s="8">
        <f>92.13</f>
        <v>92.13</v>
      </c>
      <c r="F173" s="5" t="s">
        <v>9</v>
      </c>
      <c r="G173" s="2" t="s">
        <v>20</v>
      </c>
    </row>
    <row r="174" spans="1:7" x14ac:dyDescent="0.25">
      <c r="A174" s="11">
        <v>159</v>
      </c>
      <c r="B174" s="5" t="s">
        <v>102</v>
      </c>
      <c r="C174" s="11">
        <v>95449332614</v>
      </c>
      <c r="D174" s="5" t="s">
        <v>125</v>
      </c>
      <c r="E174" s="8">
        <f>100.5</f>
        <v>100.5</v>
      </c>
      <c r="F174" s="5" t="s">
        <v>9</v>
      </c>
      <c r="G174" s="2" t="s">
        <v>20</v>
      </c>
    </row>
    <row r="175" spans="1:7" x14ac:dyDescent="0.25">
      <c r="A175" s="11">
        <v>160</v>
      </c>
      <c r="B175" s="5" t="s">
        <v>986</v>
      </c>
      <c r="C175" s="11">
        <v>58530688474</v>
      </c>
      <c r="D175" s="5" t="s">
        <v>750</v>
      </c>
      <c r="E175" s="8">
        <v>144</v>
      </c>
      <c r="F175" s="5" t="s">
        <v>9</v>
      </c>
      <c r="G175" s="2" t="s">
        <v>20</v>
      </c>
    </row>
    <row r="176" spans="1:7" x14ac:dyDescent="0.25">
      <c r="A176" s="11">
        <v>161</v>
      </c>
      <c r="B176" s="5" t="s">
        <v>772</v>
      </c>
      <c r="C176" s="11">
        <v>29035933600</v>
      </c>
      <c r="D176" s="5" t="s">
        <v>227</v>
      </c>
      <c r="E176" s="8">
        <f>56799.16</f>
        <v>56799.16</v>
      </c>
      <c r="F176" s="5" t="s">
        <v>9</v>
      </c>
      <c r="G176" s="2" t="s">
        <v>140</v>
      </c>
    </row>
    <row r="177" spans="1:7" x14ac:dyDescent="0.25">
      <c r="A177" s="11">
        <v>162</v>
      </c>
      <c r="B177" s="5" t="s">
        <v>88</v>
      </c>
      <c r="C177" s="11" t="s">
        <v>115</v>
      </c>
      <c r="D177" s="5" t="s">
        <v>89</v>
      </c>
      <c r="E177" s="8">
        <f>25087.81+1440+1620</f>
        <v>28147.81</v>
      </c>
      <c r="F177" s="5" t="s">
        <v>9</v>
      </c>
      <c r="G177" s="2" t="s">
        <v>20</v>
      </c>
    </row>
    <row r="178" spans="1:7" x14ac:dyDescent="0.25">
      <c r="A178" s="11">
        <v>163</v>
      </c>
      <c r="B178" s="5" t="s">
        <v>627</v>
      </c>
      <c r="C178" s="11">
        <v>64862538713</v>
      </c>
      <c r="D178" s="5" t="s">
        <v>628</v>
      </c>
      <c r="E178" s="8">
        <f>30.5+83.44</f>
        <v>113.94</v>
      </c>
      <c r="F178" s="5" t="s">
        <v>9</v>
      </c>
      <c r="G178" s="2" t="s">
        <v>20</v>
      </c>
    </row>
    <row r="179" spans="1:7" x14ac:dyDescent="0.25">
      <c r="A179" s="11">
        <v>164</v>
      </c>
      <c r="B179" s="5" t="s">
        <v>90</v>
      </c>
      <c r="C179" s="11">
        <v>58353015102</v>
      </c>
      <c r="D179" s="5" t="s">
        <v>116</v>
      </c>
      <c r="E179" s="8">
        <f>112.5+161.3</f>
        <v>273.8</v>
      </c>
      <c r="F179" s="5" t="s">
        <v>9</v>
      </c>
      <c r="G179" s="2" t="s">
        <v>20</v>
      </c>
    </row>
    <row r="180" spans="1:7" x14ac:dyDescent="0.25">
      <c r="A180" s="11">
        <v>165</v>
      </c>
      <c r="B180" s="21" t="s">
        <v>92</v>
      </c>
      <c r="C180" s="22">
        <v>87682591133</v>
      </c>
      <c r="D180" s="21" t="s">
        <v>118</v>
      </c>
      <c r="E180" s="15">
        <f>8082.5+6826.36+20000+35198.25</f>
        <v>70107.11</v>
      </c>
      <c r="F180" s="21" t="s">
        <v>9</v>
      </c>
      <c r="G180" s="25" t="s">
        <v>20</v>
      </c>
    </row>
    <row r="181" spans="1:7" x14ac:dyDescent="0.25">
      <c r="A181" s="11">
        <v>166</v>
      </c>
      <c r="B181" s="36" t="s">
        <v>93</v>
      </c>
      <c r="C181" s="37">
        <v>19849957757</v>
      </c>
      <c r="D181" s="36" t="s">
        <v>120</v>
      </c>
      <c r="E181" s="8">
        <f>1780+4000+525.71</f>
        <v>6305.71</v>
      </c>
      <c r="F181" s="36" t="s">
        <v>9</v>
      </c>
      <c r="G181" s="2" t="s">
        <v>20</v>
      </c>
    </row>
    <row r="182" spans="1:7" x14ac:dyDescent="0.25">
      <c r="A182" s="11">
        <v>167</v>
      </c>
      <c r="B182" s="28" t="s">
        <v>94</v>
      </c>
      <c r="C182" s="31">
        <v>52233171260</v>
      </c>
      <c r="D182" s="28" t="s">
        <v>119</v>
      </c>
      <c r="E182" s="17">
        <f>765+2818.5</f>
        <v>3583.5</v>
      </c>
      <c r="F182" s="28" t="s">
        <v>9</v>
      </c>
      <c r="G182" s="29" t="s">
        <v>20</v>
      </c>
    </row>
    <row r="183" spans="1:7" x14ac:dyDescent="0.25">
      <c r="A183" s="11">
        <v>168</v>
      </c>
      <c r="B183" s="5" t="s">
        <v>632</v>
      </c>
      <c r="C183" s="11">
        <v>79517545745</v>
      </c>
      <c r="D183" s="5" t="s">
        <v>633</v>
      </c>
      <c r="E183" s="8">
        <v>71</v>
      </c>
      <c r="F183" s="5" t="s">
        <v>9</v>
      </c>
      <c r="G183" s="2" t="s">
        <v>96</v>
      </c>
    </row>
    <row r="184" spans="1:7" x14ac:dyDescent="0.25">
      <c r="A184" s="11">
        <v>169</v>
      </c>
      <c r="B184" s="21" t="s">
        <v>186</v>
      </c>
      <c r="C184" s="22">
        <v>66181750806</v>
      </c>
      <c r="D184" s="21" t="s">
        <v>136</v>
      </c>
      <c r="E184" s="8">
        <f>1062.4</f>
        <v>1062.4000000000001</v>
      </c>
      <c r="F184" s="5" t="s">
        <v>9</v>
      </c>
      <c r="G184" s="2" t="s">
        <v>187</v>
      </c>
    </row>
    <row r="185" spans="1:7" x14ac:dyDescent="0.25">
      <c r="A185" s="11">
        <v>170</v>
      </c>
      <c r="B185" s="5" t="s">
        <v>15</v>
      </c>
      <c r="C185" s="11" t="s">
        <v>15</v>
      </c>
      <c r="D185" s="5" t="s">
        <v>15</v>
      </c>
      <c r="E185" s="8">
        <f>6604.17</f>
        <v>6604.17</v>
      </c>
      <c r="F185" s="5" t="s">
        <v>9</v>
      </c>
      <c r="G185" s="2" t="s">
        <v>97</v>
      </c>
    </row>
    <row r="186" spans="1:7" x14ac:dyDescent="0.25">
      <c r="A186" s="11">
        <v>171</v>
      </c>
      <c r="B186" s="19" t="s">
        <v>15</v>
      </c>
      <c r="C186" s="30" t="s">
        <v>15</v>
      </c>
      <c r="D186" s="19" t="s">
        <v>15</v>
      </c>
      <c r="E186" s="15">
        <f>3371.4+120</f>
        <v>3491.4</v>
      </c>
      <c r="F186" s="19" t="s">
        <v>9</v>
      </c>
      <c r="G186" s="25" t="s">
        <v>98</v>
      </c>
    </row>
    <row r="187" spans="1:7" x14ac:dyDescent="0.25">
      <c r="A187" s="11">
        <v>172</v>
      </c>
      <c r="B187" s="5" t="s">
        <v>177</v>
      </c>
      <c r="C187" s="11">
        <v>22740118957</v>
      </c>
      <c r="D187" s="5" t="s">
        <v>178</v>
      </c>
      <c r="E187" s="8">
        <f>2998.13+2536.88+241.5+483</f>
        <v>6259.51</v>
      </c>
      <c r="F187" s="5" t="s">
        <v>9</v>
      </c>
      <c r="G187" s="2" t="s">
        <v>20</v>
      </c>
    </row>
    <row r="188" spans="1:7" x14ac:dyDescent="0.25">
      <c r="A188" s="11">
        <v>173</v>
      </c>
      <c r="B188" s="5" t="s">
        <v>359</v>
      </c>
      <c r="C188" s="11">
        <v>98164456048</v>
      </c>
      <c r="D188" s="5" t="s">
        <v>360</v>
      </c>
      <c r="E188" s="8">
        <v>1624.95</v>
      </c>
      <c r="F188" s="5" t="s">
        <v>9</v>
      </c>
      <c r="G188" s="2" t="s">
        <v>104</v>
      </c>
    </row>
    <row r="189" spans="1:7" x14ac:dyDescent="0.25">
      <c r="A189" s="11">
        <v>174</v>
      </c>
      <c r="B189" s="5" t="s">
        <v>330</v>
      </c>
      <c r="C189" s="11">
        <v>27712717103</v>
      </c>
      <c r="D189" s="5" t="s">
        <v>331</v>
      </c>
      <c r="E189" s="15">
        <f>2*5855.63</f>
        <v>11711.26</v>
      </c>
      <c r="F189" s="19" t="s">
        <v>9</v>
      </c>
      <c r="G189" s="25" t="s">
        <v>55</v>
      </c>
    </row>
    <row r="190" spans="1:7" x14ac:dyDescent="0.25">
      <c r="A190" s="11">
        <v>175</v>
      </c>
      <c r="B190" s="21" t="s">
        <v>107</v>
      </c>
      <c r="C190" s="22">
        <v>34421776805</v>
      </c>
      <c r="D190" s="21" t="s">
        <v>128</v>
      </c>
      <c r="E190" s="8">
        <f>378.69</f>
        <v>378.69</v>
      </c>
      <c r="F190" s="36" t="s">
        <v>9</v>
      </c>
      <c r="G190" s="2" t="s">
        <v>108</v>
      </c>
    </row>
    <row r="191" spans="1:7" x14ac:dyDescent="0.25">
      <c r="A191" s="11">
        <v>176</v>
      </c>
      <c r="B191" s="5" t="s">
        <v>15</v>
      </c>
      <c r="C191" s="11" t="s">
        <v>15</v>
      </c>
      <c r="D191" s="5" t="s">
        <v>15</v>
      </c>
      <c r="E191" s="17">
        <v>160.80000000000001</v>
      </c>
      <c r="F191" s="28" t="s">
        <v>9</v>
      </c>
      <c r="G191" s="29" t="s">
        <v>282</v>
      </c>
    </row>
    <row r="192" spans="1:7" ht="15.75" thickBot="1" x14ac:dyDescent="0.3">
      <c r="A192" s="11">
        <v>177</v>
      </c>
      <c r="B192" s="19" t="s">
        <v>15</v>
      </c>
      <c r="C192" s="30" t="s">
        <v>15</v>
      </c>
      <c r="D192" s="19" t="s">
        <v>15</v>
      </c>
      <c r="E192" s="15">
        <v>410.22</v>
      </c>
      <c r="F192" s="19" t="s">
        <v>9</v>
      </c>
      <c r="G192" s="25" t="s">
        <v>109</v>
      </c>
    </row>
    <row r="193" spans="1:7" x14ac:dyDescent="0.25">
      <c r="A193" s="65">
        <v>178</v>
      </c>
      <c r="B193" s="67" t="s">
        <v>39</v>
      </c>
      <c r="C193" s="65">
        <v>39901919995</v>
      </c>
      <c r="D193" s="67" t="s">
        <v>47</v>
      </c>
      <c r="E193" s="16">
        <f>42637.5+34740.78+4237.03</f>
        <v>81615.31</v>
      </c>
      <c r="F193" s="67" t="s">
        <v>9</v>
      </c>
      <c r="G193" s="26" t="s">
        <v>42</v>
      </c>
    </row>
    <row r="194" spans="1:7" x14ac:dyDescent="0.25">
      <c r="A194" s="75"/>
      <c r="B194" s="76"/>
      <c r="C194" s="75"/>
      <c r="D194" s="76"/>
      <c r="E194" s="17">
        <v>2575.96</v>
      </c>
      <c r="F194" s="76"/>
      <c r="G194" s="2" t="s">
        <v>41</v>
      </c>
    </row>
    <row r="195" spans="1:7" x14ac:dyDescent="0.25">
      <c r="A195" s="75"/>
      <c r="B195" s="76"/>
      <c r="C195" s="75"/>
      <c r="D195" s="76"/>
      <c r="E195" s="8">
        <v>5804.86</v>
      </c>
      <c r="F195" s="76"/>
      <c r="G195" s="34" t="s">
        <v>40</v>
      </c>
    </row>
    <row r="196" spans="1:7" ht="15.75" thickBot="1" x14ac:dyDescent="0.3">
      <c r="A196" s="66"/>
      <c r="B196" s="68"/>
      <c r="C196" s="66"/>
      <c r="D196" s="68"/>
      <c r="E196" s="61">
        <v>200</v>
      </c>
      <c r="F196" s="68"/>
      <c r="G196" s="27" t="s">
        <v>987</v>
      </c>
    </row>
    <row r="197" spans="1:7" x14ac:dyDescent="0.25">
      <c r="A197" s="31">
        <v>179</v>
      </c>
      <c r="B197" s="28" t="s">
        <v>130</v>
      </c>
      <c r="C197" s="31">
        <v>49800593791</v>
      </c>
      <c r="D197" s="28" t="s">
        <v>132</v>
      </c>
      <c r="E197" s="17">
        <f>727.4+494.35+447.04+1329.98+409.33</f>
        <v>3408.1</v>
      </c>
      <c r="F197" s="28" t="s">
        <v>9</v>
      </c>
      <c r="G197" s="29" t="s">
        <v>405</v>
      </c>
    </row>
    <row r="198" spans="1:7" x14ac:dyDescent="0.25">
      <c r="A198" s="11">
        <v>180</v>
      </c>
      <c r="B198" s="19" t="s">
        <v>134</v>
      </c>
      <c r="C198" s="30">
        <v>26004523816</v>
      </c>
      <c r="D198" s="19" t="s">
        <v>136</v>
      </c>
      <c r="E198" s="15">
        <v>291.85000000000002</v>
      </c>
      <c r="F198" s="19" t="s">
        <v>9</v>
      </c>
      <c r="G198" s="25" t="s">
        <v>20</v>
      </c>
    </row>
    <row r="199" spans="1:7" x14ac:dyDescent="0.25">
      <c r="A199" s="11">
        <v>181</v>
      </c>
      <c r="B199" s="36" t="s">
        <v>133</v>
      </c>
      <c r="C199" s="37">
        <v>47428597158</v>
      </c>
      <c r="D199" s="36" t="s">
        <v>135</v>
      </c>
      <c r="E199" s="8">
        <f>7955.56+3020+991.69+1125</f>
        <v>13092.250000000002</v>
      </c>
      <c r="F199" s="36" t="s">
        <v>9</v>
      </c>
      <c r="G199" s="2" t="s">
        <v>20</v>
      </c>
    </row>
    <row r="200" spans="1:7" x14ac:dyDescent="0.25">
      <c r="A200" s="11">
        <v>182</v>
      </c>
      <c r="B200" s="5" t="s">
        <v>225</v>
      </c>
      <c r="C200" s="11" t="s">
        <v>15</v>
      </c>
      <c r="D200" s="5" t="s">
        <v>15</v>
      </c>
      <c r="E200" s="8">
        <v>200</v>
      </c>
      <c r="F200" s="5" t="s">
        <v>9</v>
      </c>
      <c r="G200" s="2" t="s">
        <v>99</v>
      </c>
    </row>
    <row r="201" spans="1:7" x14ac:dyDescent="0.25">
      <c r="A201" s="11">
        <v>183</v>
      </c>
      <c r="B201" s="5" t="s">
        <v>137</v>
      </c>
      <c r="C201" s="12" t="s">
        <v>139</v>
      </c>
      <c r="D201" s="5" t="s">
        <v>138</v>
      </c>
      <c r="E201" s="8">
        <f>380.66</f>
        <v>380.66</v>
      </c>
      <c r="F201" s="5" t="s">
        <v>9</v>
      </c>
      <c r="G201" s="2" t="s">
        <v>70</v>
      </c>
    </row>
    <row r="202" spans="1:7" x14ac:dyDescent="0.25">
      <c r="A202" s="11">
        <v>184</v>
      </c>
      <c r="B202" s="5" t="s">
        <v>365</v>
      </c>
      <c r="C202" s="11">
        <v>57845277445</v>
      </c>
      <c r="D202" s="5" t="s">
        <v>366</v>
      </c>
      <c r="E202" s="8">
        <v>393.75</v>
      </c>
      <c r="F202" s="5" t="s">
        <v>9</v>
      </c>
      <c r="G202" s="2" t="s">
        <v>96</v>
      </c>
    </row>
    <row r="203" spans="1:7" x14ac:dyDescent="0.25">
      <c r="A203" s="11">
        <v>185</v>
      </c>
      <c r="B203" s="5" t="s">
        <v>497</v>
      </c>
      <c r="C203" s="12" t="s">
        <v>498</v>
      </c>
      <c r="D203" s="5" t="s">
        <v>499</v>
      </c>
      <c r="E203" s="8">
        <v>342.58</v>
      </c>
      <c r="F203" s="5" t="s">
        <v>9</v>
      </c>
      <c r="G203" s="2" t="s">
        <v>70</v>
      </c>
    </row>
    <row r="204" spans="1:7" x14ac:dyDescent="0.25">
      <c r="A204" s="11">
        <v>186</v>
      </c>
      <c r="B204" s="5" t="s">
        <v>141</v>
      </c>
      <c r="C204" s="11">
        <v>63988426425</v>
      </c>
      <c r="D204" s="5" t="s">
        <v>142</v>
      </c>
      <c r="E204" s="8">
        <f>7764.38+9345.28+9084.53+10211.51+12260.31</f>
        <v>48666.01</v>
      </c>
      <c r="F204" s="5" t="s">
        <v>9</v>
      </c>
      <c r="G204" s="2" t="s">
        <v>20</v>
      </c>
    </row>
    <row r="205" spans="1:7" x14ac:dyDescent="0.25">
      <c r="A205" s="11">
        <v>187</v>
      </c>
      <c r="B205" s="5" t="s">
        <v>495</v>
      </c>
      <c r="C205" s="11">
        <v>70467048139</v>
      </c>
      <c r="D205" s="5" t="s">
        <v>496</v>
      </c>
      <c r="E205" s="8">
        <v>16.010000000000002</v>
      </c>
      <c r="F205" s="5" t="s">
        <v>9</v>
      </c>
      <c r="G205" s="2" t="s">
        <v>70</v>
      </c>
    </row>
    <row r="206" spans="1:7" x14ac:dyDescent="0.25">
      <c r="A206" s="11">
        <v>188</v>
      </c>
      <c r="B206" s="5" t="s">
        <v>203</v>
      </c>
      <c r="C206" s="11">
        <v>90439696130</v>
      </c>
      <c r="D206" s="5" t="s">
        <v>204</v>
      </c>
      <c r="E206" s="8">
        <f>12.1</f>
        <v>12.1</v>
      </c>
      <c r="F206" s="5" t="s">
        <v>9</v>
      </c>
      <c r="G206" s="2" t="s">
        <v>283</v>
      </c>
    </row>
    <row r="207" spans="1:7" x14ac:dyDescent="0.25">
      <c r="A207" s="11">
        <v>189</v>
      </c>
      <c r="B207" s="5" t="s">
        <v>143</v>
      </c>
      <c r="C207" s="11">
        <v>64546066176</v>
      </c>
      <c r="D207" s="5" t="s">
        <v>144</v>
      </c>
      <c r="E207" s="8">
        <f>39.66</f>
        <v>39.659999999999997</v>
      </c>
      <c r="F207" s="5" t="s">
        <v>9</v>
      </c>
      <c r="G207" s="2" t="s">
        <v>20</v>
      </c>
    </row>
    <row r="208" spans="1:7" x14ac:dyDescent="0.25">
      <c r="A208" s="11">
        <v>190</v>
      </c>
      <c r="B208" s="36" t="s">
        <v>151</v>
      </c>
      <c r="C208" s="37">
        <v>65952859647</v>
      </c>
      <c r="D208" s="36" t="s">
        <v>152</v>
      </c>
      <c r="E208" s="8">
        <f>7272.5+1687.5+955+1687.5</f>
        <v>11602.5</v>
      </c>
      <c r="F208" s="36" t="s">
        <v>9</v>
      </c>
      <c r="G208" s="2" t="s">
        <v>20</v>
      </c>
    </row>
    <row r="209" spans="1:7" x14ac:dyDescent="0.25">
      <c r="A209" s="11">
        <v>191</v>
      </c>
      <c r="B209" s="5" t="s">
        <v>15</v>
      </c>
      <c r="C209" s="11" t="s">
        <v>15</v>
      </c>
      <c r="D209" s="5" t="s">
        <v>15</v>
      </c>
      <c r="E209" s="8">
        <v>1561.2</v>
      </c>
      <c r="F209" s="5" t="s">
        <v>9</v>
      </c>
      <c r="G209" s="2" t="s">
        <v>988</v>
      </c>
    </row>
    <row r="210" spans="1:7" x14ac:dyDescent="0.25">
      <c r="A210" s="11">
        <v>192</v>
      </c>
      <c r="B210" s="5" t="s">
        <v>661</v>
      </c>
      <c r="C210" s="11">
        <v>60314119747</v>
      </c>
      <c r="D210" s="5" t="s">
        <v>155</v>
      </c>
      <c r="E210" s="8">
        <f>30561.55+53771.82+10738.22</f>
        <v>95071.59</v>
      </c>
      <c r="F210" s="5" t="s">
        <v>9</v>
      </c>
      <c r="G210" s="2" t="s">
        <v>20</v>
      </c>
    </row>
    <row r="211" spans="1:7" x14ac:dyDescent="0.25">
      <c r="A211" s="11">
        <v>193</v>
      </c>
      <c r="B211" s="5" t="s">
        <v>157</v>
      </c>
      <c r="C211" s="11" t="s">
        <v>158</v>
      </c>
      <c r="D211" s="5" t="s">
        <v>159</v>
      </c>
      <c r="E211" s="8">
        <f>8697.36+5916.54+704.61+2934.5</f>
        <v>18253.010000000002</v>
      </c>
      <c r="F211" s="5" t="s">
        <v>9</v>
      </c>
      <c r="G211" s="2" t="s">
        <v>20</v>
      </c>
    </row>
    <row r="212" spans="1:7" x14ac:dyDescent="0.25">
      <c r="A212" s="11">
        <v>194</v>
      </c>
      <c r="B212" s="5" t="s">
        <v>163</v>
      </c>
      <c r="C212" s="12" t="s">
        <v>165</v>
      </c>
      <c r="D212" s="5" t="s">
        <v>164</v>
      </c>
      <c r="E212" s="8">
        <f>4000+5250+2000</f>
        <v>11250</v>
      </c>
      <c r="F212" s="5" t="s">
        <v>9</v>
      </c>
      <c r="G212" s="2" t="s">
        <v>20</v>
      </c>
    </row>
    <row r="213" spans="1:7" x14ac:dyDescent="0.25">
      <c r="A213" s="11">
        <v>195</v>
      </c>
      <c r="B213" s="5" t="s">
        <v>166</v>
      </c>
      <c r="C213" s="11">
        <v>95243482140</v>
      </c>
      <c r="D213" s="5" t="s">
        <v>167</v>
      </c>
      <c r="E213" s="8">
        <f>913.37+212.46+309+217.31+238.52+442.73</f>
        <v>2333.39</v>
      </c>
      <c r="F213" s="5" t="s">
        <v>9</v>
      </c>
      <c r="G213" s="2" t="s">
        <v>20</v>
      </c>
    </row>
    <row r="214" spans="1:7" x14ac:dyDescent="0.25">
      <c r="A214" s="11">
        <v>196</v>
      </c>
      <c r="B214" s="5" t="s">
        <v>169</v>
      </c>
      <c r="C214" s="11">
        <v>98656691838</v>
      </c>
      <c r="D214" s="5" t="s">
        <v>170</v>
      </c>
      <c r="E214" s="8">
        <f>2975+2975+2975</f>
        <v>8925</v>
      </c>
      <c r="F214" s="5" t="s">
        <v>9</v>
      </c>
      <c r="G214" s="2" t="s">
        <v>20</v>
      </c>
    </row>
    <row r="215" spans="1:7" x14ac:dyDescent="0.25">
      <c r="A215" s="11">
        <v>197</v>
      </c>
      <c r="B215" s="5" t="s">
        <v>171</v>
      </c>
      <c r="C215" s="11">
        <v>15907062900</v>
      </c>
      <c r="D215" s="5" t="s">
        <v>173</v>
      </c>
      <c r="E215" s="8">
        <v>9646.52</v>
      </c>
      <c r="F215" s="5" t="s">
        <v>9</v>
      </c>
      <c r="G215" s="2" t="s">
        <v>172</v>
      </c>
    </row>
    <row r="216" spans="1:7" x14ac:dyDescent="0.25">
      <c r="A216" s="11">
        <v>198</v>
      </c>
      <c r="B216" s="5" t="s">
        <v>662</v>
      </c>
      <c r="C216" s="12" t="s">
        <v>663</v>
      </c>
      <c r="D216" s="5" t="s">
        <v>664</v>
      </c>
      <c r="E216" s="8">
        <f>135+121.29+78.91+236.69</f>
        <v>571.8900000000001</v>
      </c>
      <c r="F216" s="5" t="s">
        <v>9</v>
      </c>
      <c r="G216" s="2" t="s">
        <v>174</v>
      </c>
    </row>
    <row r="217" spans="1:7" x14ac:dyDescent="0.25">
      <c r="A217" s="11">
        <v>199</v>
      </c>
      <c r="B217" s="5" t="s">
        <v>175</v>
      </c>
      <c r="C217" s="11">
        <v>97994010225</v>
      </c>
      <c r="D217" s="5" t="s">
        <v>176</v>
      </c>
      <c r="E217" s="8">
        <f>198.97+140.41+240+75.05</f>
        <v>654.42999999999995</v>
      </c>
      <c r="F217" s="5" t="s">
        <v>9</v>
      </c>
      <c r="G217" s="2" t="s">
        <v>20</v>
      </c>
    </row>
    <row r="218" spans="1:7" x14ac:dyDescent="0.25">
      <c r="A218" s="11">
        <v>200</v>
      </c>
      <c r="B218" s="5" t="s">
        <v>179</v>
      </c>
      <c r="C218" s="11">
        <v>78969071801</v>
      </c>
      <c r="D218" s="5" t="s">
        <v>180</v>
      </c>
      <c r="E218" s="8">
        <f>780+5357.61+545.05+264.45</f>
        <v>6947.11</v>
      </c>
      <c r="F218" s="5" t="s">
        <v>9</v>
      </c>
      <c r="G218" s="2" t="s">
        <v>20</v>
      </c>
    </row>
    <row r="219" spans="1:7" x14ac:dyDescent="0.25">
      <c r="A219" s="11">
        <v>201</v>
      </c>
      <c r="B219" s="5" t="s">
        <v>184</v>
      </c>
      <c r="C219" s="11">
        <v>42769559951</v>
      </c>
      <c r="D219" s="5" t="s">
        <v>185</v>
      </c>
      <c r="E219" s="8">
        <f>1513.2</f>
        <v>1513.2</v>
      </c>
      <c r="F219" s="5" t="s">
        <v>9</v>
      </c>
      <c r="G219" s="2" t="s">
        <v>20</v>
      </c>
    </row>
    <row r="220" spans="1:7" x14ac:dyDescent="0.25">
      <c r="A220" s="11">
        <v>202</v>
      </c>
      <c r="B220" s="5" t="s">
        <v>665</v>
      </c>
      <c r="C220" s="11">
        <v>64021574271</v>
      </c>
      <c r="D220" s="5" t="s">
        <v>666</v>
      </c>
      <c r="E220" s="8">
        <f>1639.38+1609.29+327.43+120.36+207.85</f>
        <v>3904.31</v>
      </c>
      <c r="F220" s="5" t="s">
        <v>9</v>
      </c>
      <c r="G220" s="2" t="s">
        <v>20</v>
      </c>
    </row>
    <row r="221" spans="1:7" x14ac:dyDescent="0.25">
      <c r="A221" s="11">
        <v>203</v>
      </c>
      <c r="B221" s="5" t="s">
        <v>188</v>
      </c>
      <c r="C221" s="11">
        <v>48249084626</v>
      </c>
      <c r="D221" s="5" t="s">
        <v>189</v>
      </c>
      <c r="E221" s="8">
        <f>569.31+585.86+236.66+251.6+212.16+129.9</f>
        <v>1985.4900000000002</v>
      </c>
      <c r="F221" s="5" t="s">
        <v>9</v>
      </c>
      <c r="G221" s="2" t="s">
        <v>20</v>
      </c>
    </row>
    <row r="222" spans="1:7" x14ac:dyDescent="0.25">
      <c r="A222" s="11">
        <v>204</v>
      </c>
      <c r="B222" s="5" t="s">
        <v>190</v>
      </c>
      <c r="C222" s="11">
        <v>26901839603</v>
      </c>
      <c r="D222" s="5" t="s">
        <v>191</v>
      </c>
      <c r="E222" s="8">
        <f>269.75+239.43+76.55+57.93+39.05</f>
        <v>682.70999999999992</v>
      </c>
      <c r="F222" s="5" t="s">
        <v>9</v>
      </c>
      <c r="G222" s="2" t="s">
        <v>20</v>
      </c>
    </row>
    <row r="223" spans="1:7" x14ac:dyDescent="0.25">
      <c r="A223" s="11">
        <v>205</v>
      </c>
      <c r="B223" s="5" t="s">
        <v>667</v>
      </c>
      <c r="C223" s="11">
        <v>76080865307</v>
      </c>
      <c r="D223" s="5" t="s">
        <v>668</v>
      </c>
      <c r="E223" s="8">
        <v>41.48</v>
      </c>
      <c r="F223" s="5" t="s">
        <v>9</v>
      </c>
      <c r="G223" s="2" t="s">
        <v>147</v>
      </c>
    </row>
    <row r="224" spans="1:7" x14ac:dyDescent="0.25">
      <c r="A224" s="11">
        <v>206</v>
      </c>
      <c r="B224" s="5" t="s">
        <v>196</v>
      </c>
      <c r="C224" s="11">
        <v>60365429880</v>
      </c>
      <c r="D224" s="5" t="s">
        <v>197</v>
      </c>
      <c r="E224" s="8">
        <f>141.28+170.63+430.65+81.48+209.44+34.09</f>
        <v>1067.57</v>
      </c>
      <c r="F224" s="5" t="s">
        <v>9</v>
      </c>
      <c r="G224" s="2" t="s">
        <v>20</v>
      </c>
    </row>
    <row r="225" spans="1:7" x14ac:dyDescent="0.25">
      <c r="A225" s="11">
        <v>207</v>
      </c>
      <c r="B225" s="5" t="s">
        <v>201</v>
      </c>
      <c r="C225" s="11">
        <v>37879152548</v>
      </c>
      <c r="D225" s="5" t="s">
        <v>202</v>
      </c>
      <c r="E225" s="8">
        <f>850.5+742.5+335.7+601.95</f>
        <v>2530.65</v>
      </c>
      <c r="F225" s="5" t="s">
        <v>9</v>
      </c>
      <c r="G225" s="2" t="s">
        <v>20</v>
      </c>
    </row>
    <row r="226" spans="1:7" x14ac:dyDescent="0.25">
      <c r="A226" s="11">
        <v>208</v>
      </c>
      <c r="B226" s="5" t="s">
        <v>234</v>
      </c>
      <c r="C226" s="11">
        <v>64008199572</v>
      </c>
      <c r="D226" s="5" t="s">
        <v>235</v>
      </c>
      <c r="E226" s="8">
        <f>1722.98+56.25+260.02+105.05</f>
        <v>2144.3000000000002</v>
      </c>
      <c r="F226" s="5" t="s">
        <v>9</v>
      </c>
      <c r="G226" s="2" t="s">
        <v>20</v>
      </c>
    </row>
    <row r="227" spans="1:7" x14ac:dyDescent="0.25">
      <c r="A227" s="11">
        <v>209</v>
      </c>
      <c r="B227" s="5" t="s">
        <v>205</v>
      </c>
      <c r="C227" s="11">
        <v>39048902955</v>
      </c>
      <c r="D227" s="5" t="s">
        <v>206</v>
      </c>
      <c r="E227" s="8">
        <v>299.32</v>
      </c>
      <c r="F227" s="5" t="s">
        <v>9</v>
      </c>
      <c r="G227" s="2" t="s">
        <v>43</v>
      </c>
    </row>
    <row r="228" spans="1:7" x14ac:dyDescent="0.25">
      <c r="A228" s="11">
        <v>210</v>
      </c>
      <c r="B228" s="5" t="s">
        <v>207</v>
      </c>
      <c r="C228" s="11">
        <v>85375838060</v>
      </c>
      <c r="D228" s="5" t="s">
        <v>208</v>
      </c>
      <c r="E228" s="8">
        <v>28.55</v>
      </c>
      <c r="F228" s="5" t="s">
        <v>9</v>
      </c>
      <c r="G228" s="2" t="s">
        <v>43</v>
      </c>
    </row>
    <row r="229" spans="1:7" x14ac:dyDescent="0.25">
      <c r="A229" s="11">
        <v>211</v>
      </c>
      <c r="B229" s="5" t="s">
        <v>209</v>
      </c>
      <c r="C229" s="11">
        <v>55614719992</v>
      </c>
      <c r="D229" s="5" t="s">
        <v>210</v>
      </c>
      <c r="E229" s="8">
        <f>346.63+250.75</f>
        <v>597.38</v>
      </c>
      <c r="F229" s="5" t="s">
        <v>9</v>
      </c>
      <c r="G229" s="2" t="s">
        <v>20</v>
      </c>
    </row>
    <row r="230" spans="1:7" x14ac:dyDescent="0.25">
      <c r="A230" s="11">
        <v>212</v>
      </c>
      <c r="B230" s="5" t="s">
        <v>211</v>
      </c>
      <c r="C230" s="11">
        <v>95325472047</v>
      </c>
      <c r="D230" s="5" t="s">
        <v>212</v>
      </c>
      <c r="E230" s="8">
        <f>84.3+273.75</f>
        <v>358.05</v>
      </c>
      <c r="F230" s="5" t="s">
        <v>9</v>
      </c>
      <c r="G230" s="2" t="s">
        <v>20</v>
      </c>
    </row>
    <row r="231" spans="1:7" x14ac:dyDescent="0.25">
      <c r="A231" s="11">
        <v>213</v>
      </c>
      <c r="B231" s="5" t="s">
        <v>215</v>
      </c>
      <c r="C231" s="11">
        <v>110752628</v>
      </c>
      <c r="D231" s="5" t="s">
        <v>218</v>
      </c>
      <c r="E231" s="8">
        <v>577.85</v>
      </c>
      <c r="F231" s="5" t="s">
        <v>9</v>
      </c>
      <c r="G231" s="2" t="s">
        <v>20</v>
      </c>
    </row>
    <row r="232" spans="1:7" x14ac:dyDescent="0.25">
      <c r="A232" s="11">
        <v>214</v>
      </c>
      <c r="B232" s="5" t="s">
        <v>219</v>
      </c>
      <c r="C232" s="11">
        <v>53785632625</v>
      </c>
      <c r="D232" s="5" t="s">
        <v>220</v>
      </c>
      <c r="E232" s="8">
        <f>1274.8</f>
        <v>1274.8</v>
      </c>
      <c r="F232" s="5" t="s">
        <v>9</v>
      </c>
      <c r="G232" s="2" t="s">
        <v>20</v>
      </c>
    </row>
    <row r="233" spans="1:7" x14ac:dyDescent="0.25">
      <c r="A233" s="11">
        <v>215</v>
      </c>
      <c r="B233" s="5" t="s">
        <v>221</v>
      </c>
      <c r="C233" s="11">
        <v>76147579166</v>
      </c>
      <c r="D233" s="5" t="s">
        <v>222</v>
      </c>
      <c r="E233" s="8">
        <f>84.96+10.29+69.51</f>
        <v>164.76</v>
      </c>
      <c r="F233" s="5" t="s">
        <v>9</v>
      </c>
      <c r="G233" s="2" t="s">
        <v>20</v>
      </c>
    </row>
    <row r="234" spans="1:7" x14ac:dyDescent="0.25">
      <c r="A234" s="11">
        <v>216</v>
      </c>
      <c r="B234" s="5" t="s">
        <v>223</v>
      </c>
      <c r="C234" s="11">
        <v>48841983787</v>
      </c>
      <c r="D234" s="5" t="s">
        <v>224</v>
      </c>
      <c r="E234" s="8">
        <f>3000+2000+2125+1000</f>
        <v>8125</v>
      </c>
      <c r="F234" s="5" t="s">
        <v>9</v>
      </c>
      <c r="G234" s="2" t="s">
        <v>20</v>
      </c>
    </row>
    <row r="235" spans="1:7" x14ac:dyDescent="0.25">
      <c r="A235" s="11">
        <v>217</v>
      </c>
      <c r="B235" s="5" t="s">
        <v>678</v>
      </c>
      <c r="C235" s="11">
        <v>12443607100</v>
      </c>
      <c r="D235" s="5" t="s">
        <v>679</v>
      </c>
      <c r="E235" s="8">
        <f>4419.63+107.9+900</f>
        <v>5427.53</v>
      </c>
      <c r="F235" s="5" t="s">
        <v>9</v>
      </c>
      <c r="G235" s="2" t="s">
        <v>20</v>
      </c>
    </row>
    <row r="236" spans="1:7" x14ac:dyDescent="0.25">
      <c r="A236" s="11">
        <v>218</v>
      </c>
      <c r="B236" s="5" t="s">
        <v>295</v>
      </c>
      <c r="C236" s="11">
        <v>11294943436</v>
      </c>
      <c r="D236" s="5" t="s">
        <v>296</v>
      </c>
      <c r="E236" s="8">
        <f>69.52</f>
        <v>69.52</v>
      </c>
      <c r="F236" s="5" t="s">
        <v>9</v>
      </c>
      <c r="G236" s="2" t="s">
        <v>70</v>
      </c>
    </row>
    <row r="237" spans="1:7" x14ac:dyDescent="0.25">
      <c r="A237" s="11">
        <v>219</v>
      </c>
      <c r="B237" s="19" t="s">
        <v>369</v>
      </c>
      <c r="C237" s="35">
        <v>13278612358</v>
      </c>
      <c r="D237" s="19" t="s">
        <v>370</v>
      </c>
      <c r="E237" s="15">
        <f>712.5+150+287.5</f>
        <v>1150</v>
      </c>
      <c r="F237" s="19" t="s">
        <v>9</v>
      </c>
      <c r="G237" s="25" t="s">
        <v>131</v>
      </c>
    </row>
    <row r="238" spans="1:7" x14ac:dyDescent="0.25">
      <c r="A238" s="11">
        <v>220</v>
      </c>
      <c r="B238" s="5" t="s">
        <v>683</v>
      </c>
      <c r="C238" s="11">
        <v>38812451417</v>
      </c>
      <c r="D238" s="5" t="s">
        <v>684</v>
      </c>
      <c r="E238" s="8">
        <f>276.68</f>
        <v>276.68</v>
      </c>
      <c r="F238" s="5" t="s">
        <v>9</v>
      </c>
      <c r="G238" s="2" t="s">
        <v>70</v>
      </c>
    </row>
    <row r="239" spans="1:7" x14ac:dyDescent="0.25">
      <c r="A239" s="11">
        <v>221</v>
      </c>
      <c r="B239" s="5" t="s">
        <v>240</v>
      </c>
      <c r="C239" s="11">
        <v>54661026138</v>
      </c>
      <c r="D239" s="5" t="s">
        <v>241</v>
      </c>
      <c r="E239" s="8">
        <f>774.88+29.83+62.1</f>
        <v>866.81000000000006</v>
      </c>
      <c r="F239" s="5" t="s">
        <v>9</v>
      </c>
      <c r="G239" s="2" t="s">
        <v>20</v>
      </c>
    </row>
    <row r="240" spans="1:7" x14ac:dyDescent="0.25">
      <c r="A240" s="11">
        <v>222</v>
      </c>
      <c r="B240" s="5" t="s">
        <v>791</v>
      </c>
      <c r="C240" s="11">
        <v>26211106548</v>
      </c>
      <c r="D240" s="5" t="s">
        <v>686</v>
      </c>
      <c r="E240" s="8">
        <f>140.02</f>
        <v>140.02000000000001</v>
      </c>
      <c r="F240" s="5" t="s">
        <v>9</v>
      </c>
      <c r="G240" s="2" t="s">
        <v>70</v>
      </c>
    </row>
    <row r="241" spans="1:7" x14ac:dyDescent="0.25">
      <c r="A241" s="11">
        <v>223</v>
      </c>
      <c r="B241" s="5" t="s">
        <v>253</v>
      </c>
      <c r="C241" s="11">
        <v>79506290597</v>
      </c>
      <c r="D241" s="5" t="s">
        <v>255</v>
      </c>
      <c r="E241" s="8">
        <v>93.75</v>
      </c>
      <c r="F241" s="5" t="s">
        <v>9</v>
      </c>
      <c r="G241" s="2" t="s">
        <v>254</v>
      </c>
    </row>
    <row r="242" spans="1:7" x14ac:dyDescent="0.25">
      <c r="A242" s="11">
        <v>224</v>
      </c>
      <c r="B242" s="5" t="s">
        <v>236</v>
      </c>
      <c r="C242" s="11">
        <v>83157399243</v>
      </c>
      <c r="D242" s="5" t="s">
        <v>237</v>
      </c>
      <c r="E242" s="8">
        <f>93.75</f>
        <v>93.75</v>
      </c>
      <c r="F242" s="5" t="s">
        <v>9</v>
      </c>
      <c r="G242" s="2" t="s">
        <v>20</v>
      </c>
    </row>
    <row r="243" spans="1:7" x14ac:dyDescent="0.25">
      <c r="A243" s="11">
        <v>225</v>
      </c>
      <c r="B243" s="5" t="s">
        <v>257</v>
      </c>
      <c r="C243" s="11">
        <v>94505281348</v>
      </c>
      <c r="D243" s="5" t="s">
        <v>258</v>
      </c>
      <c r="E243" s="8">
        <f>172.15+165.23</f>
        <v>337.38</v>
      </c>
      <c r="F243" s="5" t="s">
        <v>9</v>
      </c>
      <c r="G243" s="2" t="s">
        <v>147</v>
      </c>
    </row>
    <row r="244" spans="1:7" x14ac:dyDescent="0.25">
      <c r="A244" s="11">
        <v>226</v>
      </c>
      <c r="B244" s="5" t="s">
        <v>337</v>
      </c>
      <c r="C244" s="11">
        <v>73294314024</v>
      </c>
      <c r="D244" s="5" t="s">
        <v>287</v>
      </c>
      <c r="E244" s="8">
        <f>520.28+5.44</f>
        <v>525.72</v>
      </c>
      <c r="F244" s="5" t="s">
        <v>9</v>
      </c>
      <c r="G244" s="2" t="s">
        <v>286</v>
      </c>
    </row>
    <row r="245" spans="1:7" x14ac:dyDescent="0.25">
      <c r="A245" s="11">
        <v>227</v>
      </c>
      <c r="B245" s="5" t="s">
        <v>288</v>
      </c>
      <c r="C245" s="11">
        <v>78424785565</v>
      </c>
      <c r="D245" s="5" t="s">
        <v>289</v>
      </c>
      <c r="E245" s="8">
        <f>720</f>
        <v>720</v>
      </c>
      <c r="F245" s="5" t="s">
        <v>9</v>
      </c>
      <c r="G245" s="2" t="s">
        <v>20</v>
      </c>
    </row>
    <row r="246" spans="1:7" x14ac:dyDescent="0.25">
      <c r="A246" s="11">
        <v>228</v>
      </c>
      <c r="B246" s="19" t="s">
        <v>989</v>
      </c>
      <c r="C246" s="35">
        <v>26941634270</v>
      </c>
      <c r="D246" s="19" t="s">
        <v>990</v>
      </c>
      <c r="E246" s="15">
        <v>4070</v>
      </c>
      <c r="F246" s="19" t="s">
        <v>9</v>
      </c>
      <c r="G246" s="25" t="s">
        <v>20</v>
      </c>
    </row>
    <row r="247" spans="1:7" x14ac:dyDescent="0.25">
      <c r="A247" s="11">
        <v>229</v>
      </c>
      <c r="B247" s="21" t="s">
        <v>339</v>
      </c>
      <c r="C247" s="22">
        <v>66402309304</v>
      </c>
      <c r="D247" s="21" t="s">
        <v>340</v>
      </c>
      <c r="E247" s="15">
        <f>7337.5</f>
        <v>7337.5</v>
      </c>
      <c r="F247" s="19" t="s">
        <v>9</v>
      </c>
      <c r="G247" s="25" t="s">
        <v>20</v>
      </c>
    </row>
    <row r="248" spans="1:7" x14ac:dyDescent="0.25">
      <c r="A248" s="11">
        <v>230</v>
      </c>
      <c r="B248" s="5" t="s">
        <v>44</v>
      </c>
      <c r="C248" s="11">
        <v>93039509752</v>
      </c>
      <c r="D248" s="5" t="s">
        <v>49</v>
      </c>
      <c r="E248" s="8">
        <f>50</f>
        <v>50</v>
      </c>
      <c r="F248" s="5" t="s">
        <v>9</v>
      </c>
      <c r="G248" s="2" t="s">
        <v>45</v>
      </c>
    </row>
    <row r="249" spans="1:7" x14ac:dyDescent="0.25">
      <c r="A249" s="11">
        <v>231</v>
      </c>
      <c r="B249" s="5" t="s">
        <v>285</v>
      </c>
      <c r="C249" s="11">
        <v>28370392421</v>
      </c>
      <c r="D249" s="5" t="s">
        <v>284</v>
      </c>
      <c r="E249" s="17">
        <v>269.69</v>
      </c>
      <c r="F249" s="28" t="s">
        <v>9</v>
      </c>
      <c r="G249" s="29" t="s">
        <v>286</v>
      </c>
    </row>
    <row r="250" spans="1:7" x14ac:dyDescent="0.25">
      <c r="A250" s="11">
        <v>232</v>
      </c>
      <c r="B250" s="5" t="s">
        <v>347</v>
      </c>
      <c r="C250" s="11">
        <v>61373622132</v>
      </c>
      <c r="D250" s="5" t="s">
        <v>348</v>
      </c>
      <c r="E250" s="17">
        <f>45.63+43.83</f>
        <v>89.460000000000008</v>
      </c>
      <c r="F250" s="28" t="s">
        <v>9</v>
      </c>
      <c r="G250" s="29" t="s">
        <v>20</v>
      </c>
    </row>
    <row r="251" spans="1:7" x14ac:dyDescent="0.25">
      <c r="A251" s="11">
        <v>233</v>
      </c>
      <c r="B251" s="5" t="s">
        <v>673</v>
      </c>
      <c r="C251" s="11">
        <v>48633701387</v>
      </c>
      <c r="D251" s="5" t="s">
        <v>674</v>
      </c>
      <c r="E251" s="8">
        <f>18.14+30.03</f>
        <v>48.17</v>
      </c>
      <c r="F251" s="5" t="s">
        <v>9</v>
      </c>
      <c r="G251" s="2" t="s">
        <v>20</v>
      </c>
    </row>
    <row r="252" spans="1:7" x14ac:dyDescent="0.25">
      <c r="A252" s="11">
        <v>234</v>
      </c>
      <c r="B252" s="5" t="s">
        <v>265</v>
      </c>
      <c r="C252" s="11">
        <v>32371574171</v>
      </c>
      <c r="D252" s="5" t="s">
        <v>266</v>
      </c>
      <c r="E252" s="8">
        <f>500+1375+775</f>
        <v>2650</v>
      </c>
      <c r="F252" s="5" t="s">
        <v>9</v>
      </c>
      <c r="G252" s="2" t="s">
        <v>131</v>
      </c>
    </row>
    <row r="253" spans="1:7" x14ac:dyDescent="0.25">
      <c r="A253" s="11">
        <v>235</v>
      </c>
      <c r="B253" s="5" t="s">
        <v>569</v>
      </c>
      <c r="C253" s="11">
        <v>27919002370</v>
      </c>
      <c r="D253" s="5" t="s">
        <v>570</v>
      </c>
      <c r="E253" s="8">
        <v>184.38</v>
      </c>
      <c r="F253" s="5" t="s">
        <v>9</v>
      </c>
      <c r="G253" s="2" t="s">
        <v>20</v>
      </c>
    </row>
    <row r="254" spans="1:7" x14ac:dyDescent="0.25">
      <c r="A254" s="11">
        <v>236</v>
      </c>
      <c r="B254" s="5" t="s">
        <v>870</v>
      </c>
      <c r="C254" s="11">
        <v>56717147376</v>
      </c>
      <c r="D254" s="5" t="s">
        <v>871</v>
      </c>
      <c r="E254" s="8">
        <f>1024.1+957.9</f>
        <v>1982</v>
      </c>
      <c r="F254" s="5" t="s">
        <v>9</v>
      </c>
      <c r="G254" s="2" t="s">
        <v>20</v>
      </c>
    </row>
    <row r="255" spans="1:7" x14ac:dyDescent="0.25">
      <c r="A255" s="11">
        <v>237</v>
      </c>
      <c r="B255" s="5" t="s">
        <v>503</v>
      </c>
      <c r="C255" s="11">
        <v>82510351433</v>
      </c>
      <c r="D255" s="5" t="s">
        <v>504</v>
      </c>
      <c r="E255" s="8">
        <f>108.54</f>
        <v>108.54</v>
      </c>
      <c r="F255" s="5" t="s">
        <v>9</v>
      </c>
      <c r="G255" s="2" t="s">
        <v>20</v>
      </c>
    </row>
    <row r="256" spans="1:7" x14ac:dyDescent="0.25">
      <c r="A256" s="11">
        <v>238</v>
      </c>
      <c r="B256" s="19" t="s">
        <v>350</v>
      </c>
      <c r="C256" s="30">
        <v>86648038250</v>
      </c>
      <c r="D256" s="19" t="s">
        <v>329</v>
      </c>
      <c r="E256" s="15">
        <f>81.25+106.25</f>
        <v>187.5</v>
      </c>
      <c r="F256" s="19" t="s">
        <v>9</v>
      </c>
      <c r="G256" s="25" t="s">
        <v>72</v>
      </c>
    </row>
    <row r="257" spans="1:7" x14ac:dyDescent="0.25">
      <c r="A257" s="11">
        <v>239</v>
      </c>
      <c r="B257" s="5" t="s">
        <v>841</v>
      </c>
      <c r="C257" s="11">
        <v>40518747839</v>
      </c>
      <c r="D257" s="5" t="s">
        <v>842</v>
      </c>
      <c r="E257" s="8">
        <f>178.22</f>
        <v>178.22</v>
      </c>
      <c r="F257" s="5" t="s">
        <v>9</v>
      </c>
      <c r="G257" s="2" t="s">
        <v>20</v>
      </c>
    </row>
    <row r="258" spans="1:7" x14ac:dyDescent="0.25">
      <c r="A258" s="11">
        <v>240</v>
      </c>
      <c r="B258" s="5" t="s">
        <v>709</v>
      </c>
      <c r="C258" s="12">
        <v>15140147538</v>
      </c>
      <c r="D258" s="5" t="s">
        <v>710</v>
      </c>
      <c r="E258" s="8">
        <f>1750+4000+2000</f>
        <v>7750</v>
      </c>
      <c r="F258" s="5" t="s">
        <v>9</v>
      </c>
      <c r="G258" s="2" t="s">
        <v>20</v>
      </c>
    </row>
    <row r="259" spans="1:7" ht="5.25" customHeight="1" x14ac:dyDescent="0.25">
      <c r="A259" s="11"/>
      <c r="B259" s="5"/>
      <c r="C259" s="11"/>
      <c r="D259" s="5"/>
      <c r="E259" s="8"/>
      <c r="F259" s="5"/>
      <c r="G259" s="2"/>
    </row>
    <row r="260" spans="1:7" x14ac:dyDescent="0.25">
      <c r="A260" s="10"/>
      <c r="B260" s="1"/>
      <c r="C260" s="10"/>
      <c r="D260" s="1"/>
      <c r="E260" s="13"/>
      <c r="F260" s="1"/>
      <c r="G260" s="1"/>
    </row>
    <row r="261" spans="1:7" x14ac:dyDescent="0.25">
      <c r="A261" s="10"/>
      <c r="B261" s="1"/>
      <c r="C261" s="10"/>
      <c r="D261" s="39" t="s">
        <v>991</v>
      </c>
      <c r="E261" s="38">
        <f>SUM(E11:E259)</f>
        <v>2945513.7999999975</v>
      </c>
      <c r="F261" s="1"/>
      <c r="G261" s="1"/>
    </row>
    <row r="262" spans="1:7" x14ac:dyDescent="0.25">
      <c r="A262" s="10"/>
      <c r="B262" s="1"/>
      <c r="C262" s="10"/>
      <c r="D262" s="1"/>
      <c r="E262" s="13"/>
      <c r="F262" s="1"/>
      <c r="G262" s="1"/>
    </row>
    <row r="263" spans="1:7" x14ac:dyDescent="0.25">
      <c r="A263" s="10"/>
      <c r="B263" s="1"/>
      <c r="C263" s="10"/>
      <c r="D263" s="1"/>
      <c r="E263" s="13"/>
      <c r="F263" s="1"/>
      <c r="G263" s="1"/>
    </row>
    <row r="264" spans="1:7" x14ac:dyDescent="0.25">
      <c r="A264" s="10"/>
      <c r="B264" s="1"/>
      <c r="C264" s="10"/>
      <c r="D264" s="1"/>
      <c r="E264" s="13"/>
      <c r="F264" s="1"/>
      <c r="G264" s="1"/>
    </row>
    <row r="265" spans="1:7" x14ac:dyDescent="0.25">
      <c r="A265" s="10"/>
      <c r="B265" s="1"/>
      <c r="C265" s="10"/>
      <c r="D265" s="1"/>
      <c r="E265" s="13"/>
      <c r="F265" s="1"/>
      <c r="G265" s="1"/>
    </row>
    <row r="266" spans="1:7" x14ac:dyDescent="0.25">
      <c r="A266" s="10"/>
      <c r="B266" s="1"/>
      <c r="C266" s="10"/>
      <c r="D266" s="1"/>
      <c r="E266" s="13"/>
      <c r="F266" s="1"/>
      <c r="G266" s="1"/>
    </row>
  </sheetData>
  <sheetProtection algorithmName="SHA-512" hashValue="7E8YAjggofQRXuG61L/igEjmcfr3Y+bKh2+WpMxjb9YUfviuPzb/PeJI8CGT89cT2vHcUwFoYIo1EkqiUXUJRA==" saltValue="rpDvkzBY6wfFGbpK8XFa+A==" spinCount="100000" sheet="1" objects="1" scenarios="1" selectLockedCells="1" autoFilter="0" selectUnlockedCells="1"/>
  <autoFilter ref="A10:G10" xr:uid="{33C38055-3C67-4AFE-9DDC-95C404ECEAB1}"/>
  <mergeCells count="28">
    <mergeCell ref="A120:A121"/>
    <mergeCell ref="B120:B121"/>
    <mergeCell ref="C120:C121"/>
    <mergeCell ref="D120:D121"/>
    <mergeCell ref="F120:F121"/>
    <mergeCell ref="A193:A196"/>
    <mergeCell ref="B193:B196"/>
    <mergeCell ref="C193:C196"/>
    <mergeCell ref="D193:D196"/>
    <mergeCell ref="F193:F196"/>
    <mergeCell ref="A36:A37"/>
    <mergeCell ref="B36:B37"/>
    <mergeCell ref="C36:C37"/>
    <mergeCell ref="D36:D37"/>
    <mergeCell ref="F36:F37"/>
    <mergeCell ref="A38:A39"/>
    <mergeCell ref="B38:B39"/>
    <mergeCell ref="C38:C39"/>
    <mergeCell ref="D38:D39"/>
    <mergeCell ref="F38:F39"/>
    <mergeCell ref="A6:B6"/>
    <mergeCell ref="A7:B7"/>
    <mergeCell ref="C8:F8"/>
    <mergeCell ref="A29:A31"/>
    <mergeCell ref="B29:B31"/>
    <mergeCell ref="C29:C31"/>
    <mergeCell ref="D29:D31"/>
    <mergeCell ref="F29:F3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234E-72CC-4D0A-BD99-4CCCFDED7B11}">
  <dimension ref="A1:G250"/>
  <sheetViews>
    <sheetView tabSelected="1" workbookViewId="0">
      <selection activeCell="E256" sqref="E256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7" t="s">
        <v>7</v>
      </c>
      <c r="B6" s="77"/>
      <c r="C6" s="10"/>
      <c r="D6" s="1"/>
      <c r="E6" s="13"/>
      <c r="F6" s="1"/>
      <c r="G6" s="1"/>
    </row>
    <row r="7" spans="1:7" x14ac:dyDescent="0.25">
      <c r="A7" s="77" t="s">
        <v>8</v>
      </c>
      <c r="B7" s="77"/>
      <c r="C7" s="10"/>
      <c r="D7" s="1"/>
      <c r="E7" s="13"/>
      <c r="F7" s="1"/>
      <c r="G7" s="1"/>
    </row>
    <row r="8" spans="1:7" x14ac:dyDescent="0.25">
      <c r="A8" s="23"/>
      <c r="B8" s="6"/>
      <c r="C8" s="78" t="s">
        <v>992</v>
      </c>
      <c r="D8" s="78"/>
      <c r="E8" s="78"/>
      <c r="F8" s="78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525.7+3095.34</f>
        <v>3621.04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332</v>
      </c>
      <c r="C12" s="11">
        <v>57270798205</v>
      </c>
      <c r="D12" s="5" t="s">
        <v>333</v>
      </c>
      <c r="E12" s="8">
        <f>498.56</f>
        <v>498.56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72.849999999999994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600+600+600+1800+1200</f>
        <v>4800</v>
      </c>
      <c r="F14" s="5" t="s">
        <v>9</v>
      </c>
      <c r="G14" s="2" t="s">
        <v>468</v>
      </c>
    </row>
    <row r="15" spans="1:7" x14ac:dyDescent="0.25">
      <c r="A15" s="11">
        <v>5</v>
      </c>
      <c r="B15" s="5" t="s">
        <v>16</v>
      </c>
      <c r="C15" s="12" t="s">
        <v>25</v>
      </c>
      <c r="D15" s="9" t="s">
        <v>412</v>
      </c>
      <c r="E15" s="8">
        <f>30</f>
        <v>30</v>
      </c>
      <c r="F15" s="5" t="s">
        <v>9</v>
      </c>
      <c r="G15" s="2" t="s">
        <v>17</v>
      </c>
    </row>
    <row r="16" spans="1:7" x14ac:dyDescent="0.25">
      <c r="A16" s="11">
        <v>6</v>
      </c>
      <c r="B16" s="5" t="s">
        <v>19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993</v>
      </c>
      <c r="C17" s="11">
        <v>87311810356</v>
      </c>
      <c r="D17" s="5" t="s">
        <v>121</v>
      </c>
      <c r="E17" s="8">
        <f>343.47</f>
        <v>343.47</v>
      </c>
      <c r="F17" s="5" t="s">
        <v>9</v>
      </c>
      <c r="G17" s="2" t="s">
        <v>99</v>
      </c>
    </row>
    <row r="18" spans="1:7" x14ac:dyDescent="0.25">
      <c r="A18" s="11">
        <v>8</v>
      </c>
      <c r="B18" s="5" t="s">
        <v>944</v>
      </c>
      <c r="C18" s="11">
        <v>29050776382</v>
      </c>
      <c r="D18" s="5" t="s">
        <v>945</v>
      </c>
      <c r="E18" s="8">
        <v>12396.94</v>
      </c>
      <c r="F18" s="5" t="s">
        <v>9</v>
      </c>
      <c r="G18" s="2" t="s">
        <v>459</v>
      </c>
    </row>
    <row r="19" spans="1:7" x14ac:dyDescent="0.25">
      <c r="A19" s="11">
        <v>9</v>
      </c>
      <c r="B19" s="5" t="s">
        <v>500</v>
      </c>
      <c r="C19" s="11">
        <v>85584865987</v>
      </c>
      <c r="D19" s="5" t="s">
        <v>501</v>
      </c>
      <c r="E19" s="8">
        <v>2301.35</v>
      </c>
      <c r="F19" s="5" t="s">
        <v>9</v>
      </c>
      <c r="G19" s="2" t="s">
        <v>70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v>1445294.9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80.400000000000006</v>
      </c>
      <c r="F21" s="5" t="s">
        <v>9</v>
      </c>
      <c r="G21" s="2" t="s">
        <v>282</v>
      </c>
    </row>
    <row r="22" spans="1:7" x14ac:dyDescent="0.25">
      <c r="A22" s="11">
        <v>12</v>
      </c>
      <c r="B22" s="63" t="s">
        <v>39</v>
      </c>
      <c r="C22" s="37">
        <v>39901919995</v>
      </c>
      <c r="D22" s="63" t="s">
        <v>47</v>
      </c>
      <c r="E22" s="8">
        <f>23808.97+7685.11+3019.88</f>
        <v>34513.96</v>
      </c>
      <c r="F22" s="5" t="s">
        <v>9</v>
      </c>
      <c r="G22" s="2" t="s">
        <v>42</v>
      </c>
    </row>
    <row r="23" spans="1:7" x14ac:dyDescent="0.25">
      <c r="A23" s="11">
        <v>13</v>
      </c>
      <c r="B23" s="5" t="s">
        <v>272</v>
      </c>
      <c r="C23" s="11">
        <v>54527841697</v>
      </c>
      <c r="D23" s="5" t="s">
        <v>279</v>
      </c>
      <c r="E23" s="8">
        <f>1375+837.5+750+875+240</f>
        <v>4077.5</v>
      </c>
      <c r="F23" s="5" t="s">
        <v>9</v>
      </c>
      <c r="G23" s="2" t="s">
        <v>20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1268.2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33</v>
      </c>
      <c r="C25" s="11">
        <v>57500462912</v>
      </c>
      <c r="D25" s="5" t="s">
        <v>35</v>
      </c>
      <c r="E25" s="8">
        <f>300+700+300</f>
        <v>1300</v>
      </c>
      <c r="F25" s="5" t="s">
        <v>9</v>
      </c>
      <c r="G25" s="2" t="s">
        <v>34</v>
      </c>
    </row>
    <row r="26" spans="1:7" x14ac:dyDescent="0.25">
      <c r="A26" s="11">
        <v>16</v>
      </c>
      <c r="B26" s="5" t="s">
        <v>56</v>
      </c>
      <c r="C26" s="11">
        <v>42889250808</v>
      </c>
      <c r="D26" s="5" t="s">
        <v>57</v>
      </c>
      <c r="E26" s="8">
        <v>65.349999999999994</v>
      </c>
      <c r="F26" s="5" t="s">
        <v>9</v>
      </c>
      <c r="G26" s="2" t="s">
        <v>55</v>
      </c>
    </row>
    <row r="27" spans="1:7" x14ac:dyDescent="0.25">
      <c r="A27" s="11">
        <v>17</v>
      </c>
      <c r="B27" s="19" t="s">
        <v>154</v>
      </c>
      <c r="C27" s="30">
        <v>72836081238</v>
      </c>
      <c r="D27" s="19" t="s">
        <v>155</v>
      </c>
      <c r="E27" s="15">
        <f>5000+5000</f>
        <v>10000</v>
      </c>
      <c r="F27" s="19" t="s">
        <v>9</v>
      </c>
      <c r="G27" s="25" t="s">
        <v>20</v>
      </c>
    </row>
    <row r="28" spans="1:7" x14ac:dyDescent="0.25">
      <c r="A28" s="11">
        <v>18</v>
      </c>
      <c r="B28" s="5" t="s">
        <v>654</v>
      </c>
      <c r="C28" s="11">
        <v>31174430130</v>
      </c>
      <c r="D28" s="5" t="s">
        <v>655</v>
      </c>
      <c r="E28" s="8">
        <v>477.24</v>
      </c>
      <c r="F28" s="5" t="s">
        <v>9</v>
      </c>
      <c r="G28" s="2" t="s">
        <v>70</v>
      </c>
    </row>
    <row r="29" spans="1:7" ht="15.75" thickBot="1" x14ac:dyDescent="0.3">
      <c r="A29" s="11">
        <v>19</v>
      </c>
      <c r="B29" s="19" t="s">
        <v>994</v>
      </c>
      <c r="C29" s="35" t="s">
        <v>995</v>
      </c>
      <c r="D29" s="19" t="s">
        <v>996</v>
      </c>
      <c r="E29" s="15">
        <v>360.5</v>
      </c>
      <c r="F29" s="19" t="s">
        <v>9</v>
      </c>
      <c r="G29" s="25" t="s">
        <v>95</v>
      </c>
    </row>
    <row r="30" spans="1:7" x14ac:dyDescent="0.25">
      <c r="A30" s="65">
        <v>20</v>
      </c>
      <c r="B30" s="67" t="s">
        <v>281</v>
      </c>
      <c r="C30" s="65">
        <v>66253945791</v>
      </c>
      <c r="D30" s="67" t="s">
        <v>46</v>
      </c>
      <c r="E30" s="16">
        <f>181926.28+205673.65</f>
        <v>387599.93</v>
      </c>
      <c r="F30" s="67" t="s">
        <v>9</v>
      </c>
      <c r="G30" s="26" t="s">
        <v>37</v>
      </c>
    </row>
    <row r="31" spans="1:7" ht="15.75" thickBot="1" x14ac:dyDescent="0.3">
      <c r="A31" s="66"/>
      <c r="B31" s="68"/>
      <c r="C31" s="66"/>
      <c r="D31" s="68"/>
      <c r="E31" s="61">
        <f>13461.73+2728.9</f>
        <v>16190.63</v>
      </c>
      <c r="F31" s="68"/>
      <c r="G31" s="27" t="s">
        <v>20</v>
      </c>
    </row>
    <row r="32" spans="1:7" x14ac:dyDescent="0.25">
      <c r="A32" s="31">
        <v>21</v>
      </c>
      <c r="B32" s="28" t="s">
        <v>44</v>
      </c>
      <c r="C32" s="31">
        <v>93039509752</v>
      </c>
      <c r="D32" s="28" t="s">
        <v>49</v>
      </c>
      <c r="E32" s="17">
        <f>50+418.75+524.25</f>
        <v>993</v>
      </c>
      <c r="F32" s="28" t="s">
        <v>9</v>
      </c>
      <c r="G32" s="29" t="s">
        <v>36</v>
      </c>
    </row>
    <row r="33" spans="1:7" x14ac:dyDescent="0.25">
      <c r="A33" s="11">
        <v>22</v>
      </c>
      <c r="B33" s="19" t="s">
        <v>38</v>
      </c>
      <c r="C33" s="30">
        <v>63073332379</v>
      </c>
      <c r="D33" s="19" t="s">
        <v>48</v>
      </c>
      <c r="E33" s="15">
        <v>4398.88</v>
      </c>
      <c r="F33" s="19" t="s">
        <v>9</v>
      </c>
      <c r="G33" s="25" t="s">
        <v>40</v>
      </c>
    </row>
    <row r="34" spans="1:7" x14ac:dyDescent="0.25">
      <c r="A34" s="11">
        <v>23</v>
      </c>
      <c r="B34" s="5" t="s">
        <v>242</v>
      </c>
      <c r="C34" s="11">
        <v>69857578031</v>
      </c>
      <c r="D34" s="5" t="s">
        <v>244</v>
      </c>
      <c r="E34" s="8">
        <f>448.31+375.18</f>
        <v>823.49</v>
      </c>
      <c r="F34" s="36" t="s">
        <v>9</v>
      </c>
      <c r="G34" s="2" t="s">
        <v>243</v>
      </c>
    </row>
    <row r="35" spans="1:7" ht="15.75" thickBot="1" x14ac:dyDescent="0.3">
      <c r="A35" s="11">
        <v>24</v>
      </c>
      <c r="B35" s="5" t="s">
        <v>646</v>
      </c>
      <c r="C35" s="11">
        <v>44270699963</v>
      </c>
      <c r="D35" s="5" t="s">
        <v>647</v>
      </c>
      <c r="E35" s="18">
        <v>38.24</v>
      </c>
      <c r="F35" s="62" t="s">
        <v>9</v>
      </c>
      <c r="G35" s="27" t="s">
        <v>70</v>
      </c>
    </row>
    <row r="36" spans="1:7" x14ac:dyDescent="0.25">
      <c r="A36" s="65">
        <v>25</v>
      </c>
      <c r="B36" s="67" t="s">
        <v>50</v>
      </c>
      <c r="C36" s="65">
        <v>11471889269</v>
      </c>
      <c r="D36" s="67" t="s">
        <v>51</v>
      </c>
      <c r="E36" s="16">
        <f>3248.75</f>
        <v>3248.75</v>
      </c>
      <c r="F36" s="67" t="s">
        <v>9</v>
      </c>
      <c r="G36" s="26" t="s">
        <v>37</v>
      </c>
    </row>
    <row r="37" spans="1:7" ht="15.75" thickBot="1" x14ac:dyDescent="0.3">
      <c r="A37" s="66"/>
      <c r="B37" s="68"/>
      <c r="C37" s="66"/>
      <c r="D37" s="68"/>
      <c r="E37" s="18">
        <f>63700.81+3700+25244.38</f>
        <v>92645.19</v>
      </c>
      <c r="F37" s="68"/>
      <c r="G37" s="27" t="s">
        <v>20</v>
      </c>
    </row>
    <row r="38" spans="1:7" x14ac:dyDescent="0.25">
      <c r="A38" s="65">
        <v>26</v>
      </c>
      <c r="B38" s="67" t="s">
        <v>52</v>
      </c>
      <c r="C38" s="65">
        <v>27759560625</v>
      </c>
      <c r="D38" s="67" t="s">
        <v>54</v>
      </c>
      <c r="E38" s="16">
        <v>7564.11</v>
      </c>
      <c r="F38" s="67" t="s">
        <v>9</v>
      </c>
      <c r="G38" s="26" t="s">
        <v>53</v>
      </c>
    </row>
    <row r="39" spans="1:7" ht="15.75" thickBot="1" x14ac:dyDescent="0.3">
      <c r="A39" s="75"/>
      <c r="B39" s="76"/>
      <c r="C39" s="75"/>
      <c r="D39" s="76"/>
      <c r="E39" s="15">
        <f>1826.63+1389.55</f>
        <v>3216.1800000000003</v>
      </c>
      <c r="F39" s="76"/>
      <c r="G39" s="25" t="s">
        <v>20</v>
      </c>
    </row>
    <row r="40" spans="1:7" x14ac:dyDescent="0.25">
      <c r="A40" s="43">
        <v>27</v>
      </c>
      <c r="B40" s="44" t="s">
        <v>102</v>
      </c>
      <c r="C40" s="43">
        <v>95449332614</v>
      </c>
      <c r="D40" s="44" t="s">
        <v>125</v>
      </c>
      <c r="E40" s="16">
        <f>144</f>
        <v>144</v>
      </c>
      <c r="F40" s="44" t="s">
        <v>9</v>
      </c>
      <c r="G40" s="26" t="s">
        <v>20</v>
      </c>
    </row>
    <row r="41" spans="1:7" x14ac:dyDescent="0.25">
      <c r="A41" s="11">
        <v>28</v>
      </c>
      <c r="B41" s="5" t="s">
        <v>997</v>
      </c>
      <c r="C41" s="11">
        <v>16423775522</v>
      </c>
      <c r="D41" s="5" t="s">
        <v>998</v>
      </c>
      <c r="E41" s="8">
        <v>401.49</v>
      </c>
      <c r="F41" s="5" t="s">
        <v>9</v>
      </c>
      <c r="G41" s="2" t="s">
        <v>587</v>
      </c>
    </row>
    <row r="42" spans="1:7" x14ac:dyDescent="0.25">
      <c r="A42" s="11">
        <v>29</v>
      </c>
      <c r="B42" s="5" t="s">
        <v>248</v>
      </c>
      <c r="C42" s="11" t="s">
        <v>249</v>
      </c>
      <c r="D42" s="5" t="s">
        <v>250</v>
      </c>
      <c r="E42" s="8">
        <f>252.5</f>
        <v>252.5</v>
      </c>
      <c r="F42" s="5" t="s">
        <v>9</v>
      </c>
      <c r="G42" s="2" t="s">
        <v>20</v>
      </c>
    </row>
    <row r="43" spans="1:7" x14ac:dyDescent="0.25">
      <c r="A43" s="11">
        <v>30</v>
      </c>
      <c r="B43" s="5" t="s">
        <v>339</v>
      </c>
      <c r="C43" s="11">
        <v>66402309304</v>
      </c>
      <c r="D43" s="5" t="s">
        <v>340</v>
      </c>
      <c r="E43" s="8">
        <f>741.31</f>
        <v>741.31</v>
      </c>
      <c r="F43" s="5" t="s">
        <v>9</v>
      </c>
      <c r="G43" s="2" t="s">
        <v>147</v>
      </c>
    </row>
    <row r="44" spans="1:7" x14ac:dyDescent="0.25">
      <c r="A44" s="11">
        <v>31</v>
      </c>
      <c r="B44" s="5" t="s">
        <v>59</v>
      </c>
      <c r="C44" s="11" t="s">
        <v>15</v>
      </c>
      <c r="D44" s="5" t="s">
        <v>15</v>
      </c>
      <c r="E44" s="8">
        <v>310.24</v>
      </c>
      <c r="F44" s="5" t="s">
        <v>9</v>
      </c>
      <c r="G44" s="2" t="s">
        <v>58</v>
      </c>
    </row>
    <row r="45" spans="1:7" x14ac:dyDescent="0.25">
      <c r="A45" s="11">
        <v>32</v>
      </c>
      <c r="B45" s="5" t="s">
        <v>15</v>
      </c>
      <c r="C45" s="11" t="s">
        <v>15</v>
      </c>
      <c r="D45" s="5" t="s">
        <v>15</v>
      </c>
      <c r="E45" s="8">
        <v>5400</v>
      </c>
      <c r="F45" s="5" t="s">
        <v>9</v>
      </c>
      <c r="G45" s="2" t="s">
        <v>60</v>
      </c>
    </row>
    <row r="46" spans="1:7" x14ac:dyDescent="0.25">
      <c r="A46" s="11">
        <v>33</v>
      </c>
      <c r="B46" s="5" t="s">
        <v>999</v>
      </c>
      <c r="C46" s="12">
        <v>12151785235</v>
      </c>
      <c r="D46" s="5" t="s">
        <v>1000</v>
      </c>
      <c r="E46" s="8">
        <f>116.44</f>
        <v>116.44</v>
      </c>
      <c r="F46" s="5" t="s">
        <v>9</v>
      </c>
      <c r="G46" s="2" t="s">
        <v>174</v>
      </c>
    </row>
    <row r="47" spans="1:7" x14ac:dyDescent="0.25">
      <c r="A47" s="11">
        <v>34</v>
      </c>
      <c r="B47" s="5" t="s">
        <v>15</v>
      </c>
      <c r="C47" s="11" t="s">
        <v>15</v>
      </c>
      <c r="D47" s="5" t="s">
        <v>15</v>
      </c>
      <c r="E47" s="8">
        <v>3915.69</v>
      </c>
      <c r="F47" s="5" t="s">
        <v>9</v>
      </c>
      <c r="G47" s="2" t="s">
        <v>66</v>
      </c>
    </row>
    <row r="48" spans="1:7" ht="15.75" thickBot="1" x14ac:dyDescent="0.3">
      <c r="A48" s="30">
        <v>35</v>
      </c>
      <c r="B48" s="19" t="s">
        <v>67</v>
      </c>
      <c r="C48" s="30">
        <v>32179081874</v>
      </c>
      <c r="D48" s="19" t="s">
        <v>68</v>
      </c>
      <c r="E48" s="15">
        <f>12.38+88.79</f>
        <v>101.17</v>
      </c>
      <c r="F48" s="19" t="s">
        <v>9</v>
      </c>
      <c r="G48" s="25" t="s">
        <v>20</v>
      </c>
    </row>
    <row r="49" spans="1:7" x14ac:dyDescent="0.25">
      <c r="A49" s="65">
        <v>36</v>
      </c>
      <c r="B49" s="67" t="s">
        <v>71</v>
      </c>
      <c r="C49" s="65">
        <v>76173743169</v>
      </c>
      <c r="D49" s="67" t="s">
        <v>69</v>
      </c>
      <c r="E49" s="16">
        <v>882.78</v>
      </c>
      <c r="F49" s="67" t="s">
        <v>9</v>
      </c>
      <c r="G49" s="26" t="s">
        <v>490</v>
      </c>
    </row>
    <row r="50" spans="1:7" ht="15.75" thickBot="1" x14ac:dyDescent="0.3">
      <c r="A50" s="66"/>
      <c r="B50" s="68"/>
      <c r="C50" s="66"/>
      <c r="D50" s="68"/>
      <c r="E50" s="18">
        <v>33.18</v>
      </c>
      <c r="F50" s="68"/>
      <c r="G50" s="27" t="s">
        <v>70</v>
      </c>
    </row>
    <row r="51" spans="1:7" x14ac:dyDescent="0.25">
      <c r="A51" s="32">
        <v>37</v>
      </c>
      <c r="B51" s="33" t="s">
        <v>491</v>
      </c>
      <c r="C51" s="47" t="s">
        <v>492</v>
      </c>
      <c r="D51" s="33" t="s">
        <v>493</v>
      </c>
      <c r="E51" s="20">
        <v>1161.6500000000001</v>
      </c>
      <c r="F51" s="33" t="s">
        <v>9</v>
      </c>
      <c r="G51" s="34" t="s">
        <v>494</v>
      </c>
    </row>
    <row r="52" spans="1:7" x14ac:dyDescent="0.25">
      <c r="A52" s="37">
        <v>38</v>
      </c>
      <c r="B52" s="36" t="s">
        <v>73</v>
      </c>
      <c r="C52" s="37">
        <v>34976993601</v>
      </c>
      <c r="D52" s="36" t="s">
        <v>74</v>
      </c>
      <c r="E52" s="8">
        <f>406.82+513.15+214.74+255.75</f>
        <v>1390.46</v>
      </c>
      <c r="F52" s="36" t="s">
        <v>9</v>
      </c>
      <c r="G52" s="2" t="s">
        <v>72</v>
      </c>
    </row>
    <row r="53" spans="1:7" x14ac:dyDescent="0.25">
      <c r="A53" s="11">
        <v>39</v>
      </c>
      <c r="B53" s="5" t="s">
        <v>15</v>
      </c>
      <c r="C53" s="11" t="s">
        <v>15</v>
      </c>
      <c r="D53" s="5" t="s">
        <v>15</v>
      </c>
      <c r="E53" s="8">
        <v>1380.47</v>
      </c>
      <c r="F53" s="5" t="s">
        <v>9</v>
      </c>
      <c r="G53" s="2" t="s">
        <v>75</v>
      </c>
    </row>
    <row r="54" spans="1:7" x14ac:dyDescent="0.25">
      <c r="A54" s="37">
        <v>40</v>
      </c>
      <c r="B54" s="5" t="s">
        <v>15</v>
      </c>
      <c r="C54" s="11" t="s">
        <v>15</v>
      </c>
      <c r="D54" s="5" t="s">
        <v>15</v>
      </c>
      <c r="E54" s="8">
        <f>47532.99+562.86</f>
        <v>48095.85</v>
      </c>
      <c r="F54" s="5" t="s">
        <v>9</v>
      </c>
      <c r="G54" s="2" t="s">
        <v>76</v>
      </c>
    </row>
    <row r="55" spans="1:7" x14ac:dyDescent="0.25">
      <c r="A55" s="11">
        <v>41</v>
      </c>
      <c r="B55" s="5" t="s">
        <v>15</v>
      </c>
      <c r="C55" s="11" t="s">
        <v>15</v>
      </c>
      <c r="D55" s="5" t="s">
        <v>15</v>
      </c>
      <c r="E55" s="8">
        <f>600+600</f>
        <v>1200</v>
      </c>
      <c r="F55" s="5" t="s">
        <v>9</v>
      </c>
      <c r="G55" s="2" t="s">
        <v>77</v>
      </c>
    </row>
    <row r="56" spans="1:7" x14ac:dyDescent="0.25">
      <c r="A56" s="37">
        <v>42</v>
      </c>
      <c r="B56" s="5" t="s">
        <v>365</v>
      </c>
      <c r="C56" s="11">
        <v>57845277445</v>
      </c>
      <c r="D56" s="5" t="s">
        <v>366</v>
      </c>
      <c r="E56" s="8">
        <v>393.75</v>
      </c>
      <c r="F56" s="5" t="s">
        <v>9</v>
      </c>
      <c r="G56" s="2" t="s">
        <v>96</v>
      </c>
    </row>
    <row r="57" spans="1:7" x14ac:dyDescent="0.25">
      <c r="A57" s="11">
        <v>43</v>
      </c>
      <c r="B57" s="21" t="s">
        <v>79</v>
      </c>
      <c r="C57" s="22">
        <v>81793146560</v>
      </c>
      <c r="D57" s="21" t="s">
        <v>80</v>
      </c>
      <c r="E57" s="8">
        <f>17.41</f>
        <v>17.41</v>
      </c>
      <c r="F57" s="5" t="s">
        <v>9</v>
      </c>
      <c r="G57" s="2" t="s">
        <v>150</v>
      </c>
    </row>
    <row r="58" spans="1:7" x14ac:dyDescent="0.25">
      <c r="A58" s="37">
        <v>44</v>
      </c>
      <c r="B58" s="5" t="s">
        <v>413</v>
      </c>
      <c r="C58" s="11">
        <v>74867487620</v>
      </c>
      <c r="D58" s="5" t="s">
        <v>168</v>
      </c>
      <c r="E58" s="8">
        <f>899.06+1559.35+431.8+633.75+1659.4</f>
        <v>5183.3600000000006</v>
      </c>
      <c r="F58" s="5" t="s">
        <v>9</v>
      </c>
      <c r="G58" s="2" t="s">
        <v>20</v>
      </c>
    </row>
    <row r="59" spans="1:7" x14ac:dyDescent="0.25">
      <c r="A59" s="11">
        <v>45</v>
      </c>
      <c r="B59" s="5" t="s">
        <v>82</v>
      </c>
      <c r="C59" s="11">
        <v>46163832762</v>
      </c>
      <c r="D59" s="5" t="s">
        <v>111</v>
      </c>
      <c r="E59" s="8">
        <f>418.21</f>
        <v>418.21</v>
      </c>
      <c r="F59" s="5" t="s">
        <v>9</v>
      </c>
      <c r="G59" s="2" t="s">
        <v>70</v>
      </c>
    </row>
    <row r="60" spans="1:7" x14ac:dyDescent="0.25">
      <c r="A60" s="37">
        <v>46</v>
      </c>
      <c r="B60" s="5" t="s">
        <v>83</v>
      </c>
      <c r="C60" s="11">
        <v>41412434130</v>
      </c>
      <c r="D60" s="5" t="s">
        <v>110</v>
      </c>
      <c r="E60" s="8">
        <v>329.28</v>
      </c>
      <c r="F60" s="5" t="s">
        <v>9</v>
      </c>
      <c r="G60" s="2" t="s">
        <v>70</v>
      </c>
    </row>
    <row r="61" spans="1:7" x14ac:dyDescent="0.25">
      <c r="A61" s="11">
        <v>47</v>
      </c>
      <c r="B61" s="19" t="s">
        <v>84</v>
      </c>
      <c r="C61" s="35" t="s">
        <v>112</v>
      </c>
      <c r="D61" s="19" t="s">
        <v>113</v>
      </c>
      <c r="E61" s="15">
        <v>338.62</v>
      </c>
      <c r="F61" s="19" t="s">
        <v>9</v>
      </c>
      <c r="G61" s="25" t="s">
        <v>70</v>
      </c>
    </row>
    <row r="62" spans="1:7" x14ac:dyDescent="0.25">
      <c r="A62" s="37">
        <v>48</v>
      </c>
      <c r="B62" s="36" t="s">
        <v>85</v>
      </c>
      <c r="C62" s="37" t="s">
        <v>303</v>
      </c>
      <c r="D62" s="36" t="s">
        <v>303</v>
      </c>
      <c r="E62" s="8">
        <v>1890</v>
      </c>
      <c r="F62" s="36" t="s">
        <v>9</v>
      </c>
      <c r="G62" s="2" t="s">
        <v>86</v>
      </c>
    </row>
    <row r="63" spans="1:7" x14ac:dyDescent="0.25">
      <c r="A63" s="11">
        <v>49</v>
      </c>
      <c r="B63" s="5" t="s">
        <v>213</v>
      </c>
      <c r="C63" s="11">
        <v>38411868043</v>
      </c>
      <c r="D63" s="5" t="s">
        <v>214</v>
      </c>
      <c r="E63" s="8">
        <f>1550+5497.5</f>
        <v>7047.5</v>
      </c>
      <c r="F63" s="5" t="s">
        <v>9</v>
      </c>
      <c r="G63" s="2" t="s">
        <v>20</v>
      </c>
    </row>
    <row r="64" spans="1:7" x14ac:dyDescent="0.25">
      <c r="A64" s="37">
        <v>50</v>
      </c>
      <c r="B64" s="19" t="s">
        <v>350</v>
      </c>
      <c r="C64" s="30">
        <v>86648038250</v>
      </c>
      <c r="D64" s="19" t="s">
        <v>329</v>
      </c>
      <c r="E64" s="15">
        <v>81.25</v>
      </c>
      <c r="F64" s="19" t="s">
        <v>9</v>
      </c>
      <c r="G64" s="25" t="s">
        <v>490</v>
      </c>
    </row>
    <row r="65" spans="1:7" x14ac:dyDescent="0.25">
      <c r="A65" s="11">
        <v>51</v>
      </c>
      <c r="B65" s="5" t="s">
        <v>772</v>
      </c>
      <c r="C65" s="11">
        <v>29035933600</v>
      </c>
      <c r="D65" s="5" t="s">
        <v>227</v>
      </c>
      <c r="E65" s="8">
        <f>41908.08+1030.62</f>
        <v>42938.700000000004</v>
      </c>
      <c r="F65" s="5" t="s">
        <v>9</v>
      </c>
      <c r="G65" s="2" t="s">
        <v>140</v>
      </c>
    </row>
    <row r="66" spans="1:7" x14ac:dyDescent="0.25">
      <c r="A66" s="37">
        <v>52</v>
      </c>
      <c r="B66" s="5" t="s">
        <v>88</v>
      </c>
      <c r="C66" s="11" t="s">
        <v>115</v>
      </c>
      <c r="D66" s="5" t="s">
        <v>89</v>
      </c>
      <c r="E66" s="8">
        <f>1620+235+470</f>
        <v>2325</v>
      </c>
      <c r="F66" s="5" t="s">
        <v>9</v>
      </c>
      <c r="G66" s="2" t="s">
        <v>20</v>
      </c>
    </row>
    <row r="67" spans="1:7" x14ac:dyDescent="0.25">
      <c r="A67" s="11">
        <v>53</v>
      </c>
      <c r="B67" s="19" t="s">
        <v>478</v>
      </c>
      <c r="C67" s="30">
        <v>23308926345</v>
      </c>
      <c r="D67" s="19" t="s">
        <v>479</v>
      </c>
      <c r="E67" s="15">
        <f>388.13</f>
        <v>388.13</v>
      </c>
      <c r="F67" s="19" t="s">
        <v>9</v>
      </c>
      <c r="G67" s="25" t="s">
        <v>36</v>
      </c>
    </row>
    <row r="68" spans="1:7" x14ac:dyDescent="0.25">
      <c r="A68" s="37">
        <v>54</v>
      </c>
      <c r="B68" s="5" t="s">
        <v>486</v>
      </c>
      <c r="C68" s="11">
        <v>11374156664</v>
      </c>
      <c r="D68" s="5" t="s">
        <v>487</v>
      </c>
      <c r="E68" s="15">
        <f>14.4</f>
        <v>14.4</v>
      </c>
      <c r="F68" s="19" t="s">
        <v>9</v>
      </c>
      <c r="G68" s="25" t="s">
        <v>20</v>
      </c>
    </row>
    <row r="69" spans="1:7" x14ac:dyDescent="0.25">
      <c r="A69" s="11">
        <v>55</v>
      </c>
      <c r="B69" s="5" t="s">
        <v>292</v>
      </c>
      <c r="C69" s="11" t="s">
        <v>293</v>
      </c>
      <c r="D69" s="5" t="s">
        <v>294</v>
      </c>
      <c r="E69" s="15">
        <f>4905.31</f>
        <v>4905.3100000000004</v>
      </c>
      <c r="F69" s="19" t="s">
        <v>9</v>
      </c>
      <c r="G69" s="25" t="s">
        <v>20</v>
      </c>
    </row>
    <row r="70" spans="1:7" x14ac:dyDescent="0.25">
      <c r="A70" s="37">
        <v>56</v>
      </c>
      <c r="B70" s="5" t="s">
        <v>577</v>
      </c>
      <c r="C70" s="11">
        <v>50467974870</v>
      </c>
      <c r="D70" s="5" t="s">
        <v>578</v>
      </c>
      <c r="E70" s="15">
        <v>66.150000000000006</v>
      </c>
      <c r="F70" s="19" t="s">
        <v>9</v>
      </c>
      <c r="G70" s="25" t="s">
        <v>20</v>
      </c>
    </row>
    <row r="71" spans="1:7" x14ac:dyDescent="0.25">
      <c r="A71" s="11">
        <v>57</v>
      </c>
      <c r="B71" s="5" t="s">
        <v>585</v>
      </c>
      <c r="C71" s="11">
        <v>21748984734</v>
      </c>
      <c r="D71" s="5" t="s">
        <v>586</v>
      </c>
      <c r="E71" s="8">
        <f>497.83</f>
        <v>497.83</v>
      </c>
      <c r="F71" s="5" t="s">
        <v>9</v>
      </c>
      <c r="G71" s="2" t="s">
        <v>587</v>
      </c>
    </row>
    <row r="72" spans="1:7" x14ac:dyDescent="0.25">
      <c r="A72" s="37">
        <v>58</v>
      </c>
      <c r="B72" s="5" t="s">
        <v>1001</v>
      </c>
      <c r="C72" s="11">
        <v>27962400486</v>
      </c>
      <c r="D72" s="5" t="s">
        <v>1002</v>
      </c>
      <c r="E72" s="15">
        <v>152.49</v>
      </c>
      <c r="F72" s="19" t="s">
        <v>9</v>
      </c>
      <c r="G72" s="25" t="s">
        <v>70</v>
      </c>
    </row>
    <row r="73" spans="1:7" x14ac:dyDescent="0.25">
      <c r="A73" s="11">
        <v>59</v>
      </c>
      <c r="B73" s="19" t="s">
        <v>749</v>
      </c>
      <c r="C73" s="35">
        <v>58530688474</v>
      </c>
      <c r="D73" s="19" t="s">
        <v>750</v>
      </c>
      <c r="E73" s="15">
        <v>617.65</v>
      </c>
      <c r="F73" s="19" t="s">
        <v>9</v>
      </c>
      <c r="G73" s="25" t="s">
        <v>581</v>
      </c>
    </row>
    <row r="74" spans="1:7" x14ac:dyDescent="0.25">
      <c r="A74" s="37">
        <v>60</v>
      </c>
      <c r="B74" s="5" t="s">
        <v>1003</v>
      </c>
      <c r="C74" s="11">
        <v>99978094596</v>
      </c>
      <c r="D74" s="5" t="s">
        <v>1004</v>
      </c>
      <c r="E74" s="15">
        <v>2220.63</v>
      </c>
      <c r="F74" s="19" t="s">
        <v>9</v>
      </c>
      <c r="G74" s="25" t="s">
        <v>20</v>
      </c>
    </row>
    <row r="75" spans="1:7" x14ac:dyDescent="0.25">
      <c r="A75" s="11">
        <v>61</v>
      </c>
      <c r="B75" s="5" t="s">
        <v>1005</v>
      </c>
      <c r="C75" s="11" t="s">
        <v>1006</v>
      </c>
      <c r="D75" s="5" t="s">
        <v>1007</v>
      </c>
      <c r="E75" s="15">
        <v>2167</v>
      </c>
      <c r="F75" s="19" t="s">
        <v>9</v>
      </c>
      <c r="G75" s="25" t="s">
        <v>20</v>
      </c>
    </row>
    <row r="76" spans="1:7" x14ac:dyDescent="0.25">
      <c r="A76" s="37">
        <v>62</v>
      </c>
      <c r="B76" s="5" t="s">
        <v>344</v>
      </c>
      <c r="C76" s="11">
        <v>37639806727</v>
      </c>
      <c r="D76" s="5" t="s">
        <v>355</v>
      </c>
      <c r="E76" s="8">
        <v>600</v>
      </c>
      <c r="F76" s="5" t="s">
        <v>9</v>
      </c>
      <c r="G76" s="2" t="s">
        <v>345</v>
      </c>
    </row>
    <row r="77" spans="1:7" x14ac:dyDescent="0.25">
      <c r="A77" s="11">
        <v>63</v>
      </c>
      <c r="B77" s="5" t="s">
        <v>313</v>
      </c>
      <c r="C77" s="11">
        <v>30568370357</v>
      </c>
      <c r="D77" s="5" t="s">
        <v>314</v>
      </c>
      <c r="E77" s="15">
        <f>537.5</f>
        <v>537.5</v>
      </c>
      <c r="F77" s="19" t="s">
        <v>9</v>
      </c>
      <c r="G77" s="25" t="s">
        <v>147</v>
      </c>
    </row>
    <row r="78" spans="1:7" x14ac:dyDescent="0.25">
      <c r="A78" s="37">
        <v>64</v>
      </c>
      <c r="B78" s="5" t="s">
        <v>259</v>
      </c>
      <c r="C78" s="11">
        <v>10765766984</v>
      </c>
      <c r="D78" s="5" t="s">
        <v>260</v>
      </c>
      <c r="E78" s="15">
        <f>1463</f>
        <v>1463</v>
      </c>
      <c r="F78" s="19" t="s">
        <v>9</v>
      </c>
      <c r="G78" s="25" t="s">
        <v>20</v>
      </c>
    </row>
    <row r="79" spans="1:7" x14ac:dyDescent="0.25">
      <c r="A79" s="11">
        <v>65</v>
      </c>
      <c r="B79" s="5" t="s">
        <v>353</v>
      </c>
      <c r="C79" s="11">
        <v>35140755222</v>
      </c>
      <c r="D79" s="5" t="s">
        <v>354</v>
      </c>
      <c r="E79" s="15">
        <f>528.13</f>
        <v>528.13</v>
      </c>
      <c r="F79" s="19" t="s">
        <v>9</v>
      </c>
      <c r="G79" s="25" t="s">
        <v>20</v>
      </c>
    </row>
    <row r="80" spans="1:7" x14ac:dyDescent="0.25">
      <c r="A80" s="37">
        <v>66</v>
      </c>
      <c r="B80" s="5" t="s">
        <v>707</v>
      </c>
      <c r="C80" s="11">
        <v>80523849112</v>
      </c>
      <c r="D80" s="5" t="s">
        <v>708</v>
      </c>
      <c r="E80" s="15">
        <f>1237.43</f>
        <v>1237.43</v>
      </c>
      <c r="F80" s="19" t="s">
        <v>9</v>
      </c>
      <c r="G80" s="25" t="s">
        <v>20</v>
      </c>
    </row>
    <row r="81" spans="1:7" x14ac:dyDescent="0.25">
      <c r="A81" s="11">
        <v>67</v>
      </c>
      <c r="B81" s="5" t="s">
        <v>1008</v>
      </c>
      <c r="C81" s="11">
        <v>75798666307</v>
      </c>
      <c r="D81" s="5" t="s">
        <v>1009</v>
      </c>
      <c r="E81" s="8">
        <f>479.7</f>
        <v>479.7</v>
      </c>
      <c r="F81" s="5" t="s">
        <v>9</v>
      </c>
      <c r="G81" s="2" t="s">
        <v>283</v>
      </c>
    </row>
    <row r="82" spans="1:7" x14ac:dyDescent="0.25">
      <c r="A82" s="37">
        <v>68</v>
      </c>
      <c r="B82" s="5" t="s">
        <v>1010</v>
      </c>
      <c r="C82" s="11">
        <v>29059177553</v>
      </c>
      <c r="D82" s="5" t="s">
        <v>1011</v>
      </c>
      <c r="E82" s="8">
        <f>137</f>
        <v>137</v>
      </c>
      <c r="F82" s="5" t="s">
        <v>9</v>
      </c>
      <c r="G82" s="2" t="s">
        <v>1012</v>
      </c>
    </row>
    <row r="83" spans="1:7" x14ac:dyDescent="0.25">
      <c r="A83" s="11">
        <v>69</v>
      </c>
      <c r="B83" s="5" t="s">
        <v>1013</v>
      </c>
      <c r="C83" s="11">
        <v>82125295985</v>
      </c>
      <c r="D83" s="5" t="s">
        <v>1014</v>
      </c>
      <c r="E83" s="15">
        <f>214.5</f>
        <v>214.5</v>
      </c>
      <c r="F83" s="5" t="s">
        <v>9</v>
      </c>
      <c r="G83" s="25" t="s">
        <v>20</v>
      </c>
    </row>
    <row r="84" spans="1:7" x14ac:dyDescent="0.25">
      <c r="A84" s="37">
        <v>70</v>
      </c>
      <c r="B84" s="5" t="s">
        <v>1015</v>
      </c>
      <c r="C84" s="11">
        <v>42211007051</v>
      </c>
      <c r="D84" s="5" t="s">
        <v>1016</v>
      </c>
      <c r="E84" s="8">
        <v>640.45000000000005</v>
      </c>
      <c r="F84" s="5" t="s">
        <v>9</v>
      </c>
      <c r="G84" s="2" t="s">
        <v>147</v>
      </c>
    </row>
    <row r="85" spans="1:7" x14ac:dyDescent="0.25">
      <c r="A85" s="11">
        <v>71</v>
      </c>
      <c r="B85" s="5" t="s">
        <v>1017</v>
      </c>
      <c r="C85" s="11">
        <v>81033767335</v>
      </c>
      <c r="D85" s="5" t="s">
        <v>1018</v>
      </c>
      <c r="E85" s="15">
        <v>8276.25</v>
      </c>
      <c r="F85" s="5" t="s">
        <v>9</v>
      </c>
      <c r="G85" s="25" t="s">
        <v>568</v>
      </c>
    </row>
    <row r="86" spans="1:7" x14ac:dyDescent="0.25">
      <c r="A86" s="37">
        <v>72</v>
      </c>
      <c r="B86" s="5" t="s">
        <v>976</v>
      </c>
      <c r="C86" s="11">
        <v>61155890230</v>
      </c>
      <c r="D86" s="5" t="s">
        <v>977</v>
      </c>
      <c r="E86" s="15">
        <v>2190.94</v>
      </c>
      <c r="F86" s="5" t="s">
        <v>9</v>
      </c>
      <c r="G86" s="25" t="s">
        <v>20</v>
      </c>
    </row>
    <row r="87" spans="1:7" x14ac:dyDescent="0.25">
      <c r="A87" s="11">
        <v>73</v>
      </c>
      <c r="B87" s="5" t="s">
        <v>1019</v>
      </c>
      <c r="C87" s="11">
        <v>69463867268</v>
      </c>
      <c r="D87" s="5" t="s">
        <v>1020</v>
      </c>
      <c r="E87" s="15">
        <v>1372.1</v>
      </c>
      <c r="F87" s="5" t="s">
        <v>9</v>
      </c>
      <c r="G87" s="25" t="s">
        <v>20</v>
      </c>
    </row>
    <row r="88" spans="1:7" x14ac:dyDescent="0.25">
      <c r="A88" s="37">
        <v>74</v>
      </c>
      <c r="B88" s="5" t="s">
        <v>1021</v>
      </c>
      <c r="C88" s="11">
        <v>48743955583</v>
      </c>
      <c r="D88" s="5" t="s">
        <v>1022</v>
      </c>
      <c r="E88" s="15">
        <v>63.43</v>
      </c>
      <c r="F88" s="5" t="s">
        <v>9</v>
      </c>
      <c r="G88" s="25" t="s">
        <v>95</v>
      </c>
    </row>
    <row r="89" spans="1:7" x14ac:dyDescent="0.25">
      <c r="A89" s="11">
        <v>75</v>
      </c>
      <c r="B89" s="5" t="s">
        <v>90</v>
      </c>
      <c r="C89" s="11">
        <v>58353015102</v>
      </c>
      <c r="D89" s="5" t="s">
        <v>116</v>
      </c>
      <c r="E89" s="15">
        <f>160.8</f>
        <v>160.80000000000001</v>
      </c>
      <c r="F89" s="5" t="s">
        <v>9</v>
      </c>
      <c r="G89" s="25" t="s">
        <v>20</v>
      </c>
    </row>
    <row r="90" spans="1:7" x14ac:dyDescent="0.25">
      <c r="A90" s="37">
        <v>76</v>
      </c>
      <c r="B90" s="5" t="s">
        <v>317</v>
      </c>
      <c r="C90" s="12" t="s">
        <v>318</v>
      </c>
      <c r="D90" s="5" t="s">
        <v>319</v>
      </c>
      <c r="E90" s="8">
        <v>81</v>
      </c>
      <c r="F90" s="5" t="s">
        <v>9</v>
      </c>
      <c r="G90" s="2" t="s">
        <v>108</v>
      </c>
    </row>
    <row r="91" spans="1:7" x14ac:dyDescent="0.25">
      <c r="A91" s="11">
        <v>77</v>
      </c>
      <c r="B91" s="5" t="s">
        <v>403</v>
      </c>
      <c r="C91" s="11">
        <v>96536434016</v>
      </c>
      <c r="D91" s="5" t="s">
        <v>404</v>
      </c>
      <c r="E91" s="15">
        <f>313.44</f>
        <v>313.44</v>
      </c>
      <c r="F91" s="5" t="s">
        <v>9</v>
      </c>
      <c r="G91" s="25" t="s">
        <v>20</v>
      </c>
    </row>
    <row r="92" spans="1:7" x14ac:dyDescent="0.25">
      <c r="A92" s="37">
        <v>78</v>
      </c>
      <c r="B92" s="5" t="s">
        <v>275</v>
      </c>
      <c r="C92" s="11">
        <v>38867318377</v>
      </c>
      <c r="D92" s="5" t="s">
        <v>276</v>
      </c>
      <c r="E92" s="15">
        <f>219</f>
        <v>219</v>
      </c>
      <c r="F92" s="5" t="s">
        <v>9</v>
      </c>
      <c r="G92" s="25" t="s">
        <v>20</v>
      </c>
    </row>
    <row r="93" spans="1:7" x14ac:dyDescent="0.25">
      <c r="A93" s="11">
        <v>79</v>
      </c>
      <c r="B93" s="21" t="s">
        <v>408</v>
      </c>
      <c r="C93" s="22">
        <v>22248533094</v>
      </c>
      <c r="D93" s="21" t="s">
        <v>409</v>
      </c>
      <c r="E93" s="15">
        <f>383.45</f>
        <v>383.45</v>
      </c>
      <c r="F93" s="5" t="s">
        <v>9</v>
      </c>
      <c r="G93" s="25" t="s">
        <v>20</v>
      </c>
    </row>
    <row r="94" spans="1:7" x14ac:dyDescent="0.25">
      <c r="A94" s="37">
        <v>80</v>
      </c>
      <c r="B94" s="5" t="s">
        <v>505</v>
      </c>
      <c r="C94" s="11">
        <v>25712329343</v>
      </c>
      <c r="D94" s="5" t="s">
        <v>506</v>
      </c>
      <c r="E94" s="15">
        <f>25.14</f>
        <v>25.14</v>
      </c>
      <c r="F94" s="5" t="s">
        <v>9</v>
      </c>
      <c r="G94" s="25" t="s">
        <v>20</v>
      </c>
    </row>
    <row r="95" spans="1:7" x14ac:dyDescent="0.25">
      <c r="A95" s="11">
        <v>81</v>
      </c>
      <c r="B95" s="5" t="s">
        <v>849</v>
      </c>
      <c r="C95" s="11">
        <v>46490936145</v>
      </c>
      <c r="D95" s="5" t="s">
        <v>850</v>
      </c>
      <c r="E95" s="15">
        <f>215.38</f>
        <v>215.38</v>
      </c>
      <c r="F95" s="5" t="s">
        <v>9</v>
      </c>
      <c r="G95" s="25" t="s">
        <v>20</v>
      </c>
    </row>
    <row r="96" spans="1:7" x14ac:dyDescent="0.25">
      <c r="A96" s="37">
        <v>82</v>
      </c>
      <c r="B96" s="5" t="s">
        <v>1023</v>
      </c>
      <c r="C96" s="12" t="s">
        <v>1024</v>
      </c>
      <c r="D96" s="5" t="s">
        <v>1025</v>
      </c>
      <c r="E96" s="15">
        <f>41.6</f>
        <v>41.6</v>
      </c>
      <c r="F96" s="5" t="s">
        <v>9</v>
      </c>
      <c r="G96" s="25" t="s">
        <v>20</v>
      </c>
    </row>
    <row r="97" spans="1:7" x14ac:dyDescent="0.25">
      <c r="A97" s="11">
        <v>83</v>
      </c>
      <c r="B97" s="5" t="s">
        <v>658</v>
      </c>
      <c r="C97" s="11">
        <v>93716144137</v>
      </c>
      <c r="D97" s="5" t="s">
        <v>659</v>
      </c>
      <c r="E97" s="15">
        <f>205.7+95</f>
        <v>300.7</v>
      </c>
      <c r="F97" s="19" t="s">
        <v>9</v>
      </c>
      <c r="G97" s="25" t="s">
        <v>20</v>
      </c>
    </row>
    <row r="98" spans="1:7" x14ac:dyDescent="0.25">
      <c r="A98" s="37">
        <v>84</v>
      </c>
      <c r="B98" s="5" t="s">
        <v>1026</v>
      </c>
      <c r="C98" s="12" t="s">
        <v>1027</v>
      </c>
      <c r="D98" s="5" t="s">
        <v>1028</v>
      </c>
      <c r="E98" s="15">
        <f>1171.27</f>
        <v>1171.27</v>
      </c>
      <c r="F98" s="19" t="s">
        <v>9</v>
      </c>
      <c r="G98" s="25" t="s">
        <v>20</v>
      </c>
    </row>
    <row r="99" spans="1:7" x14ac:dyDescent="0.25">
      <c r="A99" s="11">
        <v>85</v>
      </c>
      <c r="B99" s="5" t="s">
        <v>1029</v>
      </c>
      <c r="C99" s="11">
        <v>84523433179</v>
      </c>
      <c r="D99" s="5" t="s">
        <v>1030</v>
      </c>
      <c r="E99" s="15">
        <f>55+55</f>
        <v>110</v>
      </c>
      <c r="F99" s="19" t="s">
        <v>9</v>
      </c>
      <c r="G99" s="25" t="s">
        <v>174</v>
      </c>
    </row>
    <row r="100" spans="1:7" x14ac:dyDescent="0.25">
      <c r="A100" s="37">
        <v>86</v>
      </c>
      <c r="B100" s="5" t="s">
        <v>1031</v>
      </c>
      <c r="C100" s="64" t="s">
        <v>1032</v>
      </c>
      <c r="D100" s="5" t="s">
        <v>1033</v>
      </c>
      <c r="E100" s="15">
        <f>397</f>
        <v>397</v>
      </c>
      <c r="F100" s="19" t="s">
        <v>9</v>
      </c>
      <c r="G100" s="25" t="s">
        <v>20</v>
      </c>
    </row>
    <row r="101" spans="1:7" x14ac:dyDescent="0.25">
      <c r="A101" s="11">
        <v>87</v>
      </c>
      <c r="B101" s="5" t="s">
        <v>1034</v>
      </c>
      <c r="C101" s="11" t="s">
        <v>1035</v>
      </c>
      <c r="D101" s="5" t="s">
        <v>1036</v>
      </c>
      <c r="E101" s="15">
        <v>5160</v>
      </c>
      <c r="F101" s="19" t="s">
        <v>9</v>
      </c>
      <c r="G101" s="25" t="s">
        <v>20</v>
      </c>
    </row>
    <row r="102" spans="1:7" x14ac:dyDescent="0.25">
      <c r="A102" s="37">
        <v>88</v>
      </c>
      <c r="B102" s="5" t="s">
        <v>469</v>
      </c>
      <c r="C102" s="11">
        <v>28921383001</v>
      </c>
      <c r="D102" s="5" t="s">
        <v>470</v>
      </c>
      <c r="E102" s="8">
        <f>1064.39</f>
        <v>1064.3900000000001</v>
      </c>
      <c r="F102" s="5" t="s">
        <v>9</v>
      </c>
      <c r="G102" s="2" t="s">
        <v>471</v>
      </c>
    </row>
    <row r="103" spans="1:7" x14ac:dyDescent="0.25">
      <c r="A103" s="11">
        <v>89</v>
      </c>
      <c r="B103" s="5" t="s">
        <v>662</v>
      </c>
      <c r="C103" s="12" t="s">
        <v>663</v>
      </c>
      <c r="D103" s="5" t="s">
        <v>664</v>
      </c>
      <c r="E103" s="8">
        <f>25+120</f>
        <v>145</v>
      </c>
      <c r="F103" s="5" t="s">
        <v>9</v>
      </c>
      <c r="G103" s="2" t="s">
        <v>174</v>
      </c>
    </row>
    <row r="104" spans="1:7" x14ac:dyDescent="0.25">
      <c r="A104" s="37">
        <v>90</v>
      </c>
      <c r="B104" s="5" t="s">
        <v>890</v>
      </c>
      <c r="C104" s="12" t="s">
        <v>891</v>
      </c>
      <c r="D104" s="5" t="s">
        <v>892</v>
      </c>
      <c r="E104" s="8">
        <v>262.5</v>
      </c>
      <c r="F104" s="5" t="s">
        <v>9</v>
      </c>
      <c r="G104" s="2" t="s">
        <v>147</v>
      </c>
    </row>
    <row r="105" spans="1:7" x14ac:dyDescent="0.25">
      <c r="A105" s="11">
        <v>91</v>
      </c>
      <c r="B105" s="5" t="s">
        <v>1037</v>
      </c>
      <c r="C105" s="12">
        <v>13109986974</v>
      </c>
      <c r="D105" s="5" t="s">
        <v>1038</v>
      </c>
      <c r="E105" s="8">
        <v>33</v>
      </c>
      <c r="F105" s="5" t="s">
        <v>9</v>
      </c>
      <c r="G105" s="2" t="s">
        <v>20</v>
      </c>
    </row>
    <row r="106" spans="1:7" x14ac:dyDescent="0.25">
      <c r="A106" s="37">
        <v>92</v>
      </c>
      <c r="B106" s="5" t="s">
        <v>1039</v>
      </c>
      <c r="C106" s="12" t="s">
        <v>1040</v>
      </c>
      <c r="D106" s="5" t="s">
        <v>1041</v>
      </c>
      <c r="E106" s="8">
        <v>110</v>
      </c>
      <c r="F106" s="5" t="s">
        <v>9</v>
      </c>
      <c r="G106" s="2" t="s">
        <v>305</v>
      </c>
    </row>
    <row r="107" spans="1:7" x14ac:dyDescent="0.25">
      <c r="A107" s="11">
        <v>93</v>
      </c>
      <c r="B107" s="5" t="s">
        <v>22</v>
      </c>
      <c r="C107" s="11">
        <v>73660371074</v>
      </c>
      <c r="D107" s="5" t="s">
        <v>28</v>
      </c>
      <c r="E107" s="8">
        <f>174.95+39.99</f>
        <v>214.94</v>
      </c>
      <c r="F107" s="5" t="s">
        <v>9</v>
      </c>
      <c r="G107" s="2" t="s">
        <v>20</v>
      </c>
    </row>
    <row r="108" spans="1:7" x14ac:dyDescent="0.25">
      <c r="A108" s="37">
        <v>94</v>
      </c>
      <c r="B108" s="19" t="s">
        <v>103</v>
      </c>
      <c r="C108" s="30">
        <v>80051835685</v>
      </c>
      <c r="D108" s="19" t="s">
        <v>126</v>
      </c>
      <c r="E108" s="15">
        <v>7622.3</v>
      </c>
      <c r="F108" s="19" t="s">
        <v>9</v>
      </c>
      <c r="G108" s="25" t="s">
        <v>20</v>
      </c>
    </row>
    <row r="109" spans="1:7" x14ac:dyDescent="0.25">
      <c r="A109" s="11">
        <v>95</v>
      </c>
      <c r="B109" s="5" t="s">
        <v>556</v>
      </c>
      <c r="C109" s="11" t="s">
        <v>557</v>
      </c>
      <c r="D109" s="5" t="s">
        <v>558</v>
      </c>
      <c r="E109" s="15">
        <v>30252.87</v>
      </c>
      <c r="F109" s="19" t="s">
        <v>9</v>
      </c>
      <c r="G109" s="25" t="s">
        <v>20</v>
      </c>
    </row>
    <row r="110" spans="1:7" x14ac:dyDescent="0.25">
      <c r="A110" s="37">
        <v>96</v>
      </c>
      <c r="B110" s="5" t="s">
        <v>225</v>
      </c>
      <c r="C110" s="11" t="s">
        <v>15</v>
      </c>
      <c r="D110" s="5" t="s">
        <v>15</v>
      </c>
      <c r="E110" s="8">
        <v>200</v>
      </c>
      <c r="F110" s="5" t="s">
        <v>9</v>
      </c>
      <c r="G110" s="2" t="s">
        <v>99</v>
      </c>
    </row>
    <row r="111" spans="1:7" x14ac:dyDescent="0.25">
      <c r="A111" s="11">
        <v>97</v>
      </c>
      <c r="B111" s="5" t="s">
        <v>811</v>
      </c>
      <c r="C111" s="11">
        <v>44284514731</v>
      </c>
      <c r="D111" s="5" t="s">
        <v>812</v>
      </c>
      <c r="E111" s="15">
        <f>300</f>
        <v>300</v>
      </c>
      <c r="F111" s="5" t="s">
        <v>9</v>
      </c>
      <c r="G111" s="25" t="s">
        <v>20</v>
      </c>
    </row>
    <row r="112" spans="1:7" x14ac:dyDescent="0.25">
      <c r="A112" s="37">
        <v>98</v>
      </c>
      <c r="B112" s="5" t="s">
        <v>675</v>
      </c>
      <c r="C112" s="11" t="s">
        <v>676</v>
      </c>
      <c r="D112" s="5" t="s">
        <v>677</v>
      </c>
      <c r="E112" s="15">
        <f>3290.2+955.8</f>
        <v>4246</v>
      </c>
      <c r="F112" s="5" t="s">
        <v>9</v>
      </c>
      <c r="G112" s="25" t="s">
        <v>20</v>
      </c>
    </row>
    <row r="113" spans="1:7" x14ac:dyDescent="0.25">
      <c r="A113" s="11">
        <v>99</v>
      </c>
      <c r="B113" s="19" t="s">
        <v>574</v>
      </c>
      <c r="C113" s="30" t="s">
        <v>575</v>
      </c>
      <c r="D113" s="19" t="s">
        <v>576</v>
      </c>
      <c r="E113" s="15">
        <v>2448.06</v>
      </c>
      <c r="F113" s="5" t="s">
        <v>9</v>
      </c>
      <c r="G113" s="25" t="s">
        <v>20</v>
      </c>
    </row>
    <row r="114" spans="1:7" x14ac:dyDescent="0.25">
      <c r="A114" s="37">
        <v>100</v>
      </c>
      <c r="B114" s="19" t="s">
        <v>1042</v>
      </c>
      <c r="C114" s="30">
        <v>33911499305</v>
      </c>
      <c r="D114" s="19" t="s">
        <v>1043</v>
      </c>
      <c r="E114" s="15">
        <f>2450</f>
        <v>2450</v>
      </c>
      <c r="F114" s="5" t="s">
        <v>9</v>
      </c>
      <c r="G114" s="25" t="s">
        <v>20</v>
      </c>
    </row>
    <row r="115" spans="1:7" x14ac:dyDescent="0.25">
      <c r="A115" s="11">
        <v>101</v>
      </c>
      <c r="B115" s="5" t="s">
        <v>1044</v>
      </c>
      <c r="C115" s="11">
        <v>68256909072</v>
      </c>
      <c r="D115" s="5" t="s">
        <v>1045</v>
      </c>
      <c r="E115" s="15">
        <v>131.58000000000001</v>
      </c>
      <c r="F115" s="5" t="s">
        <v>9</v>
      </c>
      <c r="G115" s="25" t="s">
        <v>187</v>
      </c>
    </row>
    <row r="116" spans="1:7" x14ac:dyDescent="0.25">
      <c r="A116" s="37">
        <v>102</v>
      </c>
      <c r="B116" s="5" t="s">
        <v>1046</v>
      </c>
      <c r="C116" s="12" t="s">
        <v>1047</v>
      </c>
      <c r="D116" s="5" t="s">
        <v>1048</v>
      </c>
      <c r="E116" s="15">
        <v>155.69999999999999</v>
      </c>
      <c r="F116" s="5" t="s">
        <v>9</v>
      </c>
      <c r="G116" s="25" t="s">
        <v>305</v>
      </c>
    </row>
    <row r="117" spans="1:7" x14ac:dyDescent="0.25">
      <c r="A117" s="11">
        <v>103</v>
      </c>
      <c r="B117" s="5" t="s">
        <v>416</v>
      </c>
      <c r="C117" s="12" t="s">
        <v>385</v>
      </c>
      <c r="D117" s="5" t="s">
        <v>417</v>
      </c>
      <c r="E117" s="15">
        <f>201.82</f>
        <v>201.82</v>
      </c>
      <c r="F117" s="19" t="s">
        <v>9</v>
      </c>
      <c r="G117" s="25" t="s">
        <v>20</v>
      </c>
    </row>
    <row r="118" spans="1:7" x14ac:dyDescent="0.25">
      <c r="A118" s="37">
        <v>104</v>
      </c>
      <c r="B118" s="5" t="s">
        <v>927</v>
      </c>
      <c r="C118" s="11" t="s">
        <v>928</v>
      </c>
      <c r="D118" s="5" t="s">
        <v>929</v>
      </c>
      <c r="E118" s="15">
        <f>2830+361.4</f>
        <v>3191.4</v>
      </c>
      <c r="F118" s="19" t="s">
        <v>9</v>
      </c>
      <c r="G118" s="25" t="s">
        <v>20</v>
      </c>
    </row>
    <row r="119" spans="1:7" x14ac:dyDescent="0.25">
      <c r="A119" s="11">
        <v>105</v>
      </c>
      <c r="B119" s="5" t="s">
        <v>1049</v>
      </c>
      <c r="C119" s="11">
        <v>20998990299</v>
      </c>
      <c r="D119" s="5" t="s">
        <v>1050</v>
      </c>
      <c r="E119" s="15">
        <v>8.32</v>
      </c>
      <c r="F119" s="19" t="s">
        <v>9</v>
      </c>
      <c r="G119" s="25" t="s">
        <v>43</v>
      </c>
    </row>
    <row r="120" spans="1:7" x14ac:dyDescent="0.25">
      <c r="A120" s="37">
        <v>106</v>
      </c>
      <c r="B120" s="5" t="s">
        <v>839</v>
      </c>
      <c r="C120" s="12">
        <v>17695528532</v>
      </c>
      <c r="D120" s="5" t="s">
        <v>840</v>
      </c>
      <c r="E120" s="8">
        <v>26</v>
      </c>
      <c r="F120" s="5" t="s">
        <v>9</v>
      </c>
      <c r="G120" s="2" t="s">
        <v>283</v>
      </c>
    </row>
    <row r="121" spans="1:7" x14ac:dyDescent="0.25">
      <c r="A121" s="11">
        <v>107</v>
      </c>
      <c r="B121" s="5" t="s">
        <v>870</v>
      </c>
      <c r="C121" s="11">
        <v>56717147376</v>
      </c>
      <c r="D121" s="5" t="s">
        <v>871</v>
      </c>
      <c r="E121" s="15">
        <f>1093.46+1093.46</f>
        <v>2186.92</v>
      </c>
      <c r="F121" s="19" t="s">
        <v>9</v>
      </c>
      <c r="G121" s="25" t="s">
        <v>20</v>
      </c>
    </row>
    <row r="122" spans="1:7" x14ac:dyDescent="0.25">
      <c r="A122" s="37">
        <v>108</v>
      </c>
      <c r="B122" s="5" t="s">
        <v>620</v>
      </c>
      <c r="C122" s="11">
        <v>33548604975</v>
      </c>
      <c r="D122" s="5" t="s">
        <v>621</v>
      </c>
      <c r="E122" s="15">
        <f>73.5+175</f>
        <v>248.5</v>
      </c>
      <c r="F122" s="19" t="s">
        <v>9</v>
      </c>
      <c r="G122" s="25" t="s">
        <v>20</v>
      </c>
    </row>
    <row r="123" spans="1:7" x14ac:dyDescent="0.25">
      <c r="A123" s="11">
        <v>109</v>
      </c>
      <c r="B123" s="19" t="s">
        <v>958</v>
      </c>
      <c r="C123" s="30">
        <v>39881074944</v>
      </c>
      <c r="D123" s="19" t="s">
        <v>959</v>
      </c>
      <c r="E123" s="15">
        <f>38.15</f>
        <v>38.15</v>
      </c>
      <c r="F123" s="19" t="s">
        <v>9</v>
      </c>
      <c r="G123" s="25" t="s">
        <v>20</v>
      </c>
    </row>
    <row r="124" spans="1:7" x14ac:dyDescent="0.25">
      <c r="A124" s="37">
        <v>110</v>
      </c>
      <c r="B124" s="5" t="s">
        <v>982</v>
      </c>
      <c r="C124" s="11">
        <v>52639870872</v>
      </c>
      <c r="D124" s="5" t="s">
        <v>983</v>
      </c>
      <c r="E124" s="15">
        <f>1004.25</f>
        <v>1004.25</v>
      </c>
      <c r="F124" s="19" t="s">
        <v>9</v>
      </c>
      <c r="G124" s="25" t="s">
        <v>20</v>
      </c>
    </row>
    <row r="125" spans="1:7" x14ac:dyDescent="0.25">
      <c r="A125" s="11">
        <v>111</v>
      </c>
      <c r="B125" s="21" t="s">
        <v>107</v>
      </c>
      <c r="C125" s="22">
        <v>34421776805</v>
      </c>
      <c r="D125" s="21" t="s">
        <v>128</v>
      </c>
      <c r="E125" s="15">
        <f>779.54+304.09+631.7+496.8+352.5</f>
        <v>2564.63</v>
      </c>
      <c r="F125" s="19" t="s">
        <v>9</v>
      </c>
      <c r="G125" s="25" t="s">
        <v>20</v>
      </c>
    </row>
    <row r="126" spans="1:7" x14ac:dyDescent="0.25">
      <c r="A126" s="37">
        <v>112</v>
      </c>
      <c r="B126" s="5" t="s">
        <v>334</v>
      </c>
      <c r="C126" s="11" t="s">
        <v>335</v>
      </c>
      <c r="D126" s="5" t="s">
        <v>336</v>
      </c>
      <c r="E126" s="15">
        <f>465.88</f>
        <v>465.88</v>
      </c>
      <c r="F126" s="19" t="s">
        <v>9</v>
      </c>
      <c r="G126" s="25" t="s">
        <v>20</v>
      </c>
    </row>
    <row r="127" spans="1:7" x14ac:dyDescent="0.25">
      <c r="A127" s="11">
        <v>113</v>
      </c>
      <c r="B127" s="5" t="s">
        <v>310</v>
      </c>
      <c r="C127" s="11" t="s">
        <v>312</v>
      </c>
      <c r="D127" s="5" t="s">
        <v>311</v>
      </c>
      <c r="E127" s="15">
        <f>69</f>
        <v>69</v>
      </c>
      <c r="F127" s="19" t="s">
        <v>9</v>
      </c>
      <c r="G127" s="25" t="s">
        <v>20</v>
      </c>
    </row>
    <row r="128" spans="1:7" x14ac:dyDescent="0.25">
      <c r="A128" s="37">
        <v>114</v>
      </c>
      <c r="B128" s="5" t="s">
        <v>238</v>
      </c>
      <c r="C128" s="11" t="s">
        <v>239</v>
      </c>
      <c r="D128" s="5" t="s">
        <v>322</v>
      </c>
      <c r="E128" s="15">
        <v>405.57</v>
      </c>
      <c r="F128" s="19" t="s">
        <v>9</v>
      </c>
      <c r="G128" s="25" t="s">
        <v>20</v>
      </c>
    </row>
    <row r="129" spans="1:7" x14ac:dyDescent="0.25">
      <c r="A129" s="11">
        <v>115</v>
      </c>
      <c r="B129" s="5" t="s">
        <v>297</v>
      </c>
      <c r="C129" s="11">
        <v>34604734054</v>
      </c>
      <c r="D129" s="5" t="s">
        <v>298</v>
      </c>
      <c r="E129" s="8">
        <f>71.49+142.98+70+70</f>
        <v>354.46999999999997</v>
      </c>
      <c r="F129" s="5" t="s">
        <v>9</v>
      </c>
      <c r="G129" s="2" t="s">
        <v>174</v>
      </c>
    </row>
    <row r="130" spans="1:7" x14ac:dyDescent="0.25">
      <c r="A130" s="37">
        <v>116</v>
      </c>
      <c r="B130" s="5" t="s">
        <v>1051</v>
      </c>
      <c r="C130" s="11">
        <v>78853440387</v>
      </c>
      <c r="D130" s="5" t="s">
        <v>1052</v>
      </c>
      <c r="E130" s="15">
        <v>1685.21</v>
      </c>
      <c r="F130" s="19" t="s">
        <v>9</v>
      </c>
      <c r="G130" s="25" t="s">
        <v>20</v>
      </c>
    </row>
    <row r="131" spans="1:7" x14ac:dyDescent="0.25">
      <c r="A131" s="11">
        <v>117</v>
      </c>
      <c r="B131" s="5" t="s">
        <v>1053</v>
      </c>
      <c r="C131" s="11">
        <v>13430781274</v>
      </c>
      <c r="D131" s="5" t="s">
        <v>1054</v>
      </c>
      <c r="E131" s="15">
        <v>6360</v>
      </c>
      <c r="F131" s="19" t="s">
        <v>9</v>
      </c>
      <c r="G131" s="25" t="s">
        <v>55</v>
      </c>
    </row>
    <row r="132" spans="1:7" x14ac:dyDescent="0.25">
      <c r="A132" s="37">
        <v>118</v>
      </c>
      <c r="B132" s="5" t="s">
        <v>392</v>
      </c>
      <c r="C132" s="12">
        <v>71116385993</v>
      </c>
      <c r="D132" s="5" t="s">
        <v>393</v>
      </c>
      <c r="E132" s="15">
        <f>22.51+108.38+71.7</f>
        <v>202.58999999999997</v>
      </c>
      <c r="F132" s="19" t="s">
        <v>9</v>
      </c>
      <c r="G132" s="25" t="s">
        <v>20</v>
      </c>
    </row>
    <row r="133" spans="1:7" x14ac:dyDescent="0.25">
      <c r="A133" s="11">
        <v>119</v>
      </c>
      <c r="B133" s="5" t="s">
        <v>447</v>
      </c>
      <c r="C133" s="11">
        <v>75531206229</v>
      </c>
      <c r="D133" s="5" t="s">
        <v>258</v>
      </c>
      <c r="E133" s="15">
        <v>3579.4</v>
      </c>
      <c r="F133" s="19" t="s">
        <v>9</v>
      </c>
      <c r="G133" s="25" t="s">
        <v>20</v>
      </c>
    </row>
    <row r="134" spans="1:7" x14ac:dyDescent="0.25">
      <c r="A134" s="37">
        <v>120</v>
      </c>
      <c r="B134" s="5" t="s">
        <v>1055</v>
      </c>
      <c r="C134" s="11">
        <v>89027343720</v>
      </c>
      <c r="D134" s="5" t="s">
        <v>670</v>
      </c>
      <c r="E134" s="15">
        <f>26.25+159</f>
        <v>185.25</v>
      </c>
      <c r="F134" s="19" t="s">
        <v>9</v>
      </c>
      <c r="G134" s="25" t="s">
        <v>20</v>
      </c>
    </row>
    <row r="135" spans="1:7" x14ac:dyDescent="0.25">
      <c r="A135" s="11">
        <v>121</v>
      </c>
      <c r="B135" s="5" t="s">
        <v>667</v>
      </c>
      <c r="C135" s="11">
        <v>76080865307</v>
      </c>
      <c r="D135" s="5" t="s">
        <v>668</v>
      </c>
      <c r="E135" s="8">
        <v>42.78</v>
      </c>
      <c r="F135" s="5" t="s">
        <v>9</v>
      </c>
      <c r="G135" s="2" t="s">
        <v>147</v>
      </c>
    </row>
    <row r="136" spans="1:7" x14ac:dyDescent="0.25">
      <c r="A136" s="37">
        <v>122</v>
      </c>
      <c r="B136" s="5" t="s">
        <v>636</v>
      </c>
      <c r="C136" s="12" t="s">
        <v>637</v>
      </c>
      <c r="D136" s="5" t="s">
        <v>638</v>
      </c>
      <c r="E136" s="15">
        <f>704.24</f>
        <v>704.24</v>
      </c>
      <c r="F136" s="19" t="s">
        <v>9</v>
      </c>
      <c r="G136" s="25" t="s">
        <v>20</v>
      </c>
    </row>
    <row r="137" spans="1:7" x14ac:dyDescent="0.25">
      <c r="A137" s="11">
        <v>123</v>
      </c>
      <c r="B137" s="5" t="s">
        <v>695</v>
      </c>
      <c r="C137" s="11">
        <v>76454212077</v>
      </c>
      <c r="D137" s="5" t="s">
        <v>696</v>
      </c>
      <c r="E137" s="8">
        <v>406.25</v>
      </c>
      <c r="F137" s="5" t="s">
        <v>9</v>
      </c>
      <c r="G137" s="2" t="s">
        <v>147</v>
      </c>
    </row>
    <row r="138" spans="1:7" x14ac:dyDescent="0.25">
      <c r="A138" s="37">
        <v>124</v>
      </c>
      <c r="B138" s="5" t="s">
        <v>400</v>
      </c>
      <c r="C138" s="11" t="s">
        <v>402</v>
      </c>
      <c r="D138" s="5" t="s">
        <v>401</v>
      </c>
      <c r="E138" s="15">
        <v>1699.48</v>
      </c>
      <c r="F138" s="5" t="s">
        <v>9</v>
      </c>
      <c r="G138" s="25" t="s">
        <v>20</v>
      </c>
    </row>
    <row r="139" spans="1:7" x14ac:dyDescent="0.25">
      <c r="A139" s="11">
        <v>125</v>
      </c>
      <c r="B139" s="19" t="s">
        <v>1056</v>
      </c>
      <c r="C139" s="35">
        <v>33496432020</v>
      </c>
      <c r="D139" s="19" t="s">
        <v>1057</v>
      </c>
      <c r="E139" s="15">
        <v>62.5</v>
      </c>
      <c r="F139" s="5" t="s">
        <v>9</v>
      </c>
      <c r="G139" s="25" t="s">
        <v>20</v>
      </c>
    </row>
    <row r="140" spans="1:7" x14ac:dyDescent="0.25">
      <c r="A140" s="37">
        <v>126</v>
      </c>
      <c r="B140" s="19" t="s">
        <v>1058</v>
      </c>
      <c r="C140" s="35">
        <v>69014652462</v>
      </c>
      <c r="D140" s="19" t="s">
        <v>1059</v>
      </c>
      <c r="E140" s="15">
        <v>1980.94</v>
      </c>
      <c r="F140" s="5" t="s">
        <v>9</v>
      </c>
      <c r="G140" s="25" t="s">
        <v>20</v>
      </c>
    </row>
    <row r="141" spans="1:7" x14ac:dyDescent="0.25">
      <c r="A141" s="11">
        <v>127</v>
      </c>
      <c r="B141" s="19" t="s">
        <v>843</v>
      </c>
      <c r="C141" s="35">
        <v>84515892678</v>
      </c>
      <c r="D141" s="19" t="s">
        <v>1060</v>
      </c>
      <c r="E141" s="15">
        <v>287.5</v>
      </c>
      <c r="F141" s="5" t="s">
        <v>9</v>
      </c>
      <c r="G141" s="25" t="s">
        <v>20</v>
      </c>
    </row>
    <row r="142" spans="1:7" x14ac:dyDescent="0.25">
      <c r="A142" s="37">
        <v>128</v>
      </c>
      <c r="B142" s="19" t="s">
        <v>1061</v>
      </c>
      <c r="C142" s="35" t="s">
        <v>1062</v>
      </c>
      <c r="D142" s="19" t="s">
        <v>443</v>
      </c>
      <c r="E142" s="15">
        <v>32.6</v>
      </c>
      <c r="F142" s="5" t="s">
        <v>9</v>
      </c>
      <c r="G142" s="25" t="s">
        <v>20</v>
      </c>
    </row>
    <row r="143" spans="1:7" x14ac:dyDescent="0.25">
      <c r="A143" s="11">
        <v>129</v>
      </c>
      <c r="B143" s="19" t="s">
        <v>1063</v>
      </c>
      <c r="C143" s="30">
        <v>61781468900</v>
      </c>
      <c r="D143" s="19" t="s">
        <v>1064</v>
      </c>
      <c r="E143" s="15">
        <v>6.71</v>
      </c>
      <c r="F143" s="19" t="s">
        <v>9</v>
      </c>
      <c r="G143" s="25" t="s">
        <v>20</v>
      </c>
    </row>
    <row r="144" spans="1:7" x14ac:dyDescent="0.25">
      <c r="A144" s="37">
        <v>130</v>
      </c>
      <c r="B144" s="19" t="s">
        <v>1065</v>
      </c>
      <c r="C144" s="30" t="s">
        <v>1066</v>
      </c>
      <c r="D144" s="19" t="s">
        <v>553</v>
      </c>
      <c r="E144" s="15">
        <v>4782</v>
      </c>
      <c r="F144" s="19" t="s">
        <v>9</v>
      </c>
      <c r="G144" s="25" t="s">
        <v>20</v>
      </c>
    </row>
    <row r="145" spans="1:7" x14ac:dyDescent="0.25">
      <c r="A145" s="11">
        <v>131</v>
      </c>
      <c r="B145" s="5" t="s">
        <v>337</v>
      </c>
      <c r="C145" s="11">
        <v>73294314024</v>
      </c>
      <c r="D145" s="5" t="s">
        <v>287</v>
      </c>
      <c r="E145" s="8">
        <f>272.3</f>
        <v>272.3</v>
      </c>
      <c r="F145" s="5" t="s">
        <v>9</v>
      </c>
      <c r="G145" s="2" t="s">
        <v>286</v>
      </c>
    </row>
    <row r="146" spans="1:7" x14ac:dyDescent="0.25">
      <c r="A146" s="37">
        <v>132</v>
      </c>
      <c r="B146" s="5" t="s">
        <v>91</v>
      </c>
      <c r="C146" s="11">
        <v>62534176727</v>
      </c>
      <c r="D146" s="5" t="s">
        <v>117</v>
      </c>
      <c r="E146" s="8">
        <f>1780.63+742.5+1780.63+332.79</f>
        <v>4636.55</v>
      </c>
      <c r="F146" s="5" t="s">
        <v>9</v>
      </c>
      <c r="G146" s="2" t="s">
        <v>20</v>
      </c>
    </row>
    <row r="147" spans="1:7" x14ac:dyDescent="0.25">
      <c r="A147" s="11">
        <v>133</v>
      </c>
      <c r="B147" s="5" t="s">
        <v>946</v>
      </c>
      <c r="C147" s="11">
        <v>18458216879</v>
      </c>
      <c r="D147" s="5" t="s">
        <v>947</v>
      </c>
      <c r="E147" s="8">
        <f>273.8+149.79+100</f>
        <v>523.59</v>
      </c>
      <c r="F147" s="5" t="s">
        <v>9</v>
      </c>
      <c r="G147" s="2" t="s">
        <v>948</v>
      </c>
    </row>
    <row r="148" spans="1:7" x14ac:dyDescent="0.25">
      <c r="A148" s="37">
        <v>134</v>
      </c>
      <c r="B148" s="5" t="s">
        <v>874</v>
      </c>
      <c r="C148" s="11">
        <v>55622004611</v>
      </c>
      <c r="D148" s="5" t="s">
        <v>26</v>
      </c>
      <c r="E148" s="8">
        <f>97.75</f>
        <v>97.75</v>
      </c>
      <c r="F148" s="5" t="s">
        <v>9</v>
      </c>
      <c r="G148" s="2" t="s">
        <v>20</v>
      </c>
    </row>
    <row r="149" spans="1:7" x14ac:dyDescent="0.25">
      <c r="A149" s="11">
        <v>135</v>
      </c>
      <c r="B149" s="5" t="s">
        <v>1067</v>
      </c>
      <c r="C149" s="11">
        <v>25388753075</v>
      </c>
      <c r="D149" s="5" t="s">
        <v>1068</v>
      </c>
      <c r="E149" s="8">
        <f>29.01+20.67</f>
        <v>49.680000000000007</v>
      </c>
      <c r="F149" s="5" t="s">
        <v>9</v>
      </c>
      <c r="G149" s="2" t="s">
        <v>70</v>
      </c>
    </row>
    <row r="150" spans="1:7" x14ac:dyDescent="0.25">
      <c r="A150" s="37">
        <v>136</v>
      </c>
      <c r="B150" s="5" t="s">
        <v>1069</v>
      </c>
      <c r="C150" s="12" t="s">
        <v>1070</v>
      </c>
      <c r="D150" s="5" t="s">
        <v>1071</v>
      </c>
      <c r="E150" s="8">
        <v>1442.55</v>
      </c>
      <c r="F150" s="5" t="s">
        <v>9</v>
      </c>
      <c r="G150" s="2" t="s">
        <v>1072</v>
      </c>
    </row>
    <row r="151" spans="1:7" x14ac:dyDescent="0.25">
      <c r="A151" s="11">
        <v>137</v>
      </c>
      <c r="B151" s="5" t="s">
        <v>627</v>
      </c>
      <c r="C151" s="11">
        <v>64862538713</v>
      </c>
      <c r="D151" s="5" t="s">
        <v>628</v>
      </c>
      <c r="E151" s="8">
        <f>51+64.25+15+51</f>
        <v>181.25</v>
      </c>
      <c r="F151" s="5" t="s">
        <v>9</v>
      </c>
      <c r="G151" s="2" t="s">
        <v>20</v>
      </c>
    </row>
    <row r="152" spans="1:7" x14ac:dyDescent="0.25">
      <c r="A152" s="37">
        <v>138</v>
      </c>
      <c r="B152" s="5" t="s">
        <v>503</v>
      </c>
      <c r="C152" s="11">
        <v>82510351433</v>
      </c>
      <c r="D152" s="5" t="s">
        <v>504</v>
      </c>
      <c r="E152" s="8">
        <f>71.19</f>
        <v>71.19</v>
      </c>
      <c r="F152" s="5" t="s">
        <v>9</v>
      </c>
      <c r="G152" s="2" t="s">
        <v>147</v>
      </c>
    </row>
    <row r="153" spans="1:7" x14ac:dyDescent="0.25">
      <c r="A153" s="11">
        <v>139</v>
      </c>
      <c r="B153" s="5" t="s">
        <v>87</v>
      </c>
      <c r="C153" s="11">
        <v>51645411160</v>
      </c>
      <c r="D153" s="5" t="s">
        <v>114</v>
      </c>
      <c r="E153" s="8">
        <f>30.25</f>
        <v>30.25</v>
      </c>
      <c r="F153" s="5" t="s">
        <v>9</v>
      </c>
      <c r="G153" s="2" t="s">
        <v>20</v>
      </c>
    </row>
    <row r="154" spans="1:7" x14ac:dyDescent="0.25">
      <c r="A154" s="37">
        <v>140</v>
      </c>
      <c r="B154" s="5" t="s">
        <v>860</v>
      </c>
      <c r="C154" s="11">
        <v>11711059133</v>
      </c>
      <c r="D154" s="5" t="s">
        <v>861</v>
      </c>
      <c r="E154" s="8">
        <f>1474.38</f>
        <v>1474.38</v>
      </c>
      <c r="F154" s="5" t="s">
        <v>9</v>
      </c>
      <c r="G154" s="2" t="s">
        <v>20</v>
      </c>
    </row>
    <row r="155" spans="1:7" x14ac:dyDescent="0.25">
      <c r="A155" s="11">
        <v>141</v>
      </c>
      <c r="B155" s="19" t="s">
        <v>989</v>
      </c>
      <c r="C155" s="35">
        <v>26941634270</v>
      </c>
      <c r="D155" s="19" t="s">
        <v>990</v>
      </c>
      <c r="E155" s="8">
        <f>1018</f>
        <v>1018</v>
      </c>
      <c r="F155" s="5" t="s">
        <v>9</v>
      </c>
      <c r="G155" s="2" t="s">
        <v>20</v>
      </c>
    </row>
    <row r="156" spans="1:7" x14ac:dyDescent="0.25">
      <c r="A156" s="37">
        <v>142</v>
      </c>
      <c r="B156" s="5" t="s">
        <v>770</v>
      </c>
      <c r="C156" s="11">
        <v>77022388360</v>
      </c>
      <c r="D156" s="5" t="s">
        <v>771</v>
      </c>
      <c r="E156" s="8">
        <f>172.28</f>
        <v>172.28</v>
      </c>
      <c r="F156" s="5" t="s">
        <v>9</v>
      </c>
      <c r="G156" s="2" t="s">
        <v>20</v>
      </c>
    </row>
    <row r="157" spans="1:7" x14ac:dyDescent="0.25">
      <c r="A157" s="11">
        <v>143</v>
      </c>
      <c r="B157" s="5" t="s">
        <v>397</v>
      </c>
      <c r="C157" s="12" t="s">
        <v>399</v>
      </c>
      <c r="D157" s="5" t="s">
        <v>398</v>
      </c>
      <c r="E157" s="8">
        <f>3667.03</f>
        <v>3667.03</v>
      </c>
      <c r="F157" s="5" t="s">
        <v>9</v>
      </c>
      <c r="G157" s="2" t="s">
        <v>183</v>
      </c>
    </row>
    <row r="158" spans="1:7" x14ac:dyDescent="0.25">
      <c r="A158" s="37">
        <v>144</v>
      </c>
      <c r="B158" s="5" t="s">
        <v>678</v>
      </c>
      <c r="C158" s="11">
        <v>12443607100</v>
      </c>
      <c r="D158" s="5" t="s">
        <v>679</v>
      </c>
      <c r="E158" s="8">
        <f>189</f>
        <v>189</v>
      </c>
      <c r="F158" s="5" t="s">
        <v>9</v>
      </c>
      <c r="G158" s="2" t="s">
        <v>20</v>
      </c>
    </row>
    <row r="159" spans="1:7" x14ac:dyDescent="0.25">
      <c r="A159" s="11">
        <v>145</v>
      </c>
      <c r="B159" s="5" t="s">
        <v>952</v>
      </c>
      <c r="C159" s="11" t="s">
        <v>953</v>
      </c>
      <c r="D159" s="5" t="s">
        <v>954</v>
      </c>
      <c r="E159" s="8">
        <f>833.98+577.12</f>
        <v>1411.1</v>
      </c>
      <c r="F159" s="5" t="s">
        <v>9</v>
      </c>
      <c r="G159" s="2" t="s">
        <v>20</v>
      </c>
    </row>
    <row r="160" spans="1:7" x14ac:dyDescent="0.25">
      <c r="A160" s="37">
        <v>146</v>
      </c>
      <c r="B160" s="5" t="s">
        <v>648</v>
      </c>
      <c r="C160" s="11" t="s">
        <v>649</v>
      </c>
      <c r="D160" s="5" t="s">
        <v>650</v>
      </c>
      <c r="E160" s="8">
        <f>7387.1+2000+2000</f>
        <v>11387.1</v>
      </c>
      <c r="F160" s="5" t="s">
        <v>9</v>
      </c>
      <c r="G160" s="2" t="s">
        <v>20</v>
      </c>
    </row>
    <row r="161" spans="1:7" x14ac:dyDescent="0.25">
      <c r="A161" s="11">
        <v>147</v>
      </c>
      <c r="B161" s="5" t="s">
        <v>966</v>
      </c>
      <c r="C161" s="11">
        <v>88470929840</v>
      </c>
      <c r="D161" s="5" t="s">
        <v>967</v>
      </c>
      <c r="E161" s="8">
        <f>110.93</f>
        <v>110.93</v>
      </c>
      <c r="F161" s="5" t="s">
        <v>9</v>
      </c>
      <c r="G161" s="2" t="s">
        <v>20</v>
      </c>
    </row>
    <row r="162" spans="1:7" x14ac:dyDescent="0.25">
      <c r="A162" s="37">
        <v>148</v>
      </c>
      <c r="B162" s="5" t="s">
        <v>779</v>
      </c>
      <c r="C162" s="11">
        <v>31190261041</v>
      </c>
      <c r="D162" s="5" t="s">
        <v>780</v>
      </c>
      <c r="E162" s="8">
        <f>240</f>
        <v>240</v>
      </c>
      <c r="F162" s="5" t="s">
        <v>9</v>
      </c>
      <c r="G162" s="2" t="s">
        <v>20</v>
      </c>
    </row>
    <row r="163" spans="1:7" x14ac:dyDescent="0.25">
      <c r="A163" s="11">
        <v>149</v>
      </c>
      <c r="B163" s="5" t="s">
        <v>835</v>
      </c>
      <c r="C163" s="11">
        <v>19422090987</v>
      </c>
      <c r="D163" s="5" t="s">
        <v>836</v>
      </c>
      <c r="E163" s="8">
        <f>480.91+961.83</f>
        <v>1442.74</v>
      </c>
      <c r="F163" s="5" t="s">
        <v>9</v>
      </c>
      <c r="G163" s="2" t="s">
        <v>20</v>
      </c>
    </row>
    <row r="164" spans="1:7" x14ac:dyDescent="0.25">
      <c r="A164" s="37">
        <v>150</v>
      </c>
      <c r="B164" s="5" t="s">
        <v>547</v>
      </c>
      <c r="C164" s="12" t="s">
        <v>548</v>
      </c>
      <c r="D164" s="5" t="s">
        <v>549</v>
      </c>
      <c r="E164" s="8">
        <f>111.25</f>
        <v>111.25</v>
      </c>
      <c r="F164" s="5" t="s">
        <v>9</v>
      </c>
      <c r="G164" s="2" t="s">
        <v>550</v>
      </c>
    </row>
    <row r="165" spans="1:7" x14ac:dyDescent="0.25">
      <c r="A165" s="11">
        <v>151</v>
      </c>
      <c r="B165" s="21" t="s">
        <v>186</v>
      </c>
      <c r="C165" s="22">
        <v>66181750806</v>
      </c>
      <c r="D165" s="21" t="s">
        <v>136</v>
      </c>
      <c r="E165" s="8">
        <f>2829.63+65.78</f>
        <v>2895.4100000000003</v>
      </c>
      <c r="F165" s="5" t="s">
        <v>9</v>
      </c>
      <c r="G165" s="2" t="s">
        <v>187</v>
      </c>
    </row>
    <row r="166" spans="1:7" x14ac:dyDescent="0.25">
      <c r="A166" s="37">
        <v>152</v>
      </c>
      <c r="B166" s="5" t="s">
        <v>349</v>
      </c>
      <c r="C166" s="11">
        <v>80805858278</v>
      </c>
      <c r="D166" s="5" t="s">
        <v>138</v>
      </c>
      <c r="E166" s="8">
        <v>96.45</v>
      </c>
      <c r="F166" s="5" t="s">
        <v>9</v>
      </c>
      <c r="G166" s="2" t="s">
        <v>43</v>
      </c>
    </row>
    <row r="167" spans="1:7" x14ac:dyDescent="0.25">
      <c r="A167" s="11">
        <v>153</v>
      </c>
      <c r="B167" s="5" t="s">
        <v>458</v>
      </c>
      <c r="C167" s="11">
        <v>36856583241</v>
      </c>
      <c r="D167" s="5" t="s">
        <v>460</v>
      </c>
      <c r="E167" s="8">
        <v>126391.75</v>
      </c>
      <c r="F167" s="5" t="s">
        <v>9</v>
      </c>
      <c r="G167" s="2" t="s">
        <v>459</v>
      </c>
    </row>
    <row r="168" spans="1:7" x14ac:dyDescent="0.25">
      <c r="A168" s="37">
        <v>154</v>
      </c>
      <c r="B168" s="5" t="s">
        <v>295</v>
      </c>
      <c r="C168" s="11">
        <v>11294943436</v>
      </c>
      <c r="D168" s="5" t="s">
        <v>296</v>
      </c>
      <c r="E168" s="8">
        <f>91.65</f>
        <v>91.65</v>
      </c>
      <c r="F168" s="5" t="s">
        <v>9</v>
      </c>
      <c r="G168" s="2" t="s">
        <v>70</v>
      </c>
    </row>
    <row r="169" spans="1:7" x14ac:dyDescent="0.25">
      <c r="A169" s="11">
        <v>155</v>
      </c>
      <c r="B169" s="21" t="s">
        <v>92</v>
      </c>
      <c r="C169" s="22">
        <v>87682591133</v>
      </c>
      <c r="D169" s="21" t="s">
        <v>118</v>
      </c>
      <c r="E169" s="15">
        <f>7875</f>
        <v>7875</v>
      </c>
      <c r="F169" s="21" t="s">
        <v>9</v>
      </c>
      <c r="G169" s="25" t="s">
        <v>20</v>
      </c>
    </row>
    <row r="170" spans="1:7" x14ac:dyDescent="0.25">
      <c r="A170" s="37">
        <v>156</v>
      </c>
      <c r="B170" s="36" t="s">
        <v>93</v>
      </c>
      <c r="C170" s="37">
        <v>19849957757</v>
      </c>
      <c r="D170" s="36" t="s">
        <v>120</v>
      </c>
      <c r="E170" s="8">
        <f>2196.08+3306.08+1023.03</f>
        <v>6525.19</v>
      </c>
      <c r="F170" s="36" t="s">
        <v>9</v>
      </c>
      <c r="G170" s="2" t="s">
        <v>20</v>
      </c>
    </row>
    <row r="171" spans="1:7" x14ac:dyDescent="0.25">
      <c r="A171" s="11">
        <v>157</v>
      </c>
      <c r="B171" s="5" t="s">
        <v>94</v>
      </c>
      <c r="C171" s="11">
        <v>52233171260</v>
      </c>
      <c r="D171" s="5" t="s">
        <v>119</v>
      </c>
      <c r="E171" s="8">
        <f>765+475+7427.58+1372.5</f>
        <v>10040.08</v>
      </c>
      <c r="F171" s="5" t="s">
        <v>9</v>
      </c>
      <c r="G171" s="2" t="s">
        <v>20</v>
      </c>
    </row>
    <row r="172" spans="1:7" x14ac:dyDescent="0.25">
      <c r="A172" s="37">
        <v>158</v>
      </c>
      <c r="B172" s="5" t="s">
        <v>301</v>
      </c>
      <c r="C172" s="11">
        <v>85821130368</v>
      </c>
      <c r="D172" s="5" t="s">
        <v>302</v>
      </c>
      <c r="E172" s="8">
        <v>16.600000000000001</v>
      </c>
      <c r="F172" s="24" t="s">
        <v>9</v>
      </c>
      <c r="G172" s="2" t="s">
        <v>96</v>
      </c>
    </row>
    <row r="173" spans="1:7" x14ac:dyDescent="0.25">
      <c r="A173" s="11">
        <v>159</v>
      </c>
      <c r="B173" s="5" t="s">
        <v>632</v>
      </c>
      <c r="C173" s="11">
        <v>79517545745</v>
      </c>
      <c r="D173" s="5" t="s">
        <v>633</v>
      </c>
      <c r="E173" s="8">
        <v>71</v>
      </c>
      <c r="F173" s="5" t="s">
        <v>9</v>
      </c>
      <c r="G173" s="2" t="s">
        <v>96</v>
      </c>
    </row>
    <row r="174" spans="1:7" x14ac:dyDescent="0.25">
      <c r="A174" s="37">
        <v>160</v>
      </c>
      <c r="B174" s="5" t="s">
        <v>15</v>
      </c>
      <c r="C174" s="11" t="s">
        <v>15</v>
      </c>
      <c r="D174" s="5" t="s">
        <v>15</v>
      </c>
      <c r="E174" s="8">
        <f>1348.82+60+5033.21+5494.77</f>
        <v>11936.8</v>
      </c>
      <c r="F174" s="5" t="s">
        <v>9</v>
      </c>
      <c r="G174" s="2" t="s">
        <v>97</v>
      </c>
    </row>
    <row r="175" spans="1:7" x14ac:dyDescent="0.25">
      <c r="A175" s="11">
        <v>161</v>
      </c>
      <c r="B175" s="19" t="s">
        <v>15</v>
      </c>
      <c r="C175" s="30" t="s">
        <v>15</v>
      </c>
      <c r="D175" s="19" t="s">
        <v>15</v>
      </c>
      <c r="E175" s="15">
        <f>3226.12</f>
        <v>3226.12</v>
      </c>
      <c r="F175" s="19" t="s">
        <v>9</v>
      </c>
      <c r="G175" s="25" t="s">
        <v>98</v>
      </c>
    </row>
    <row r="176" spans="1:7" x14ac:dyDescent="0.25">
      <c r="A176" s="37">
        <v>162</v>
      </c>
      <c r="B176" s="36" t="s">
        <v>101</v>
      </c>
      <c r="C176" s="37">
        <v>71642207963</v>
      </c>
      <c r="D176" s="36" t="s">
        <v>124</v>
      </c>
      <c r="E176" s="8">
        <f>112.13</f>
        <v>112.13</v>
      </c>
      <c r="F176" s="5" t="s">
        <v>9</v>
      </c>
      <c r="G176" s="2" t="s">
        <v>20</v>
      </c>
    </row>
    <row r="177" spans="1:7" x14ac:dyDescent="0.25">
      <c r="A177" s="11">
        <v>163</v>
      </c>
      <c r="B177" s="5" t="s">
        <v>177</v>
      </c>
      <c r="C177" s="11">
        <v>22740118957</v>
      </c>
      <c r="D177" s="5" t="s">
        <v>178</v>
      </c>
      <c r="E177" s="8">
        <f>461.25+1153.13</f>
        <v>1614.38</v>
      </c>
      <c r="F177" s="5" t="s">
        <v>9</v>
      </c>
      <c r="G177" s="2" t="s">
        <v>20</v>
      </c>
    </row>
    <row r="178" spans="1:7" x14ac:dyDescent="0.25">
      <c r="A178" s="37">
        <v>164</v>
      </c>
      <c r="B178" s="5" t="s">
        <v>15</v>
      </c>
      <c r="C178" s="11" t="s">
        <v>15</v>
      </c>
      <c r="D178" s="5" t="s">
        <v>15</v>
      </c>
      <c r="E178" s="8">
        <v>410.22</v>
      </c>
      <c r="F178" s="5" t="s">
        <v>9</v>
      </c>
      <c r="G178" s="2" t="s">
        <v>109</v>
      </c>
    </row>
    <row r="179" spans="1:7" x14ac:dyDescent="0.25">
      <c r="A179" s="11">
        <v>165</v>
      </c>
      <c r="B179" s="19" t="s">
        <v>363</v>
      </c>
      <c r="C179" s="30">
        <v>78131970792</v>
      </c>
      <c r="D179" s="19" t="s">
        <v>364</v>
      </c>
      <c r="E179" s="8">
        <f>462.5+1937.5</f>
        <v>2400</v>
      </c>
      <c r="F179" s="5" t="s">
        <v>9</v>
      </c>
      <c r="G179" s="2" t="s">
        <v>131</v>
      </c>
    </row>
    <row r="180" spans="1:7" x14ac:dyDescent="0.25">
      <c r="A180" s="37">
        <v>166</v>
      </c>
      <c r="B180" s="5" t="s">
        <v>1073</v>
      </c>
      <c r="C180" s="11">
        <v>38453826849</v>
      </c>
      <c r="D180" s="5" t="s">
        <v>1074</v>
      </c>
      <c r="E180" s="8">
        <v>223</v>
      </c>
      <c r="F180" s="5" t="s">
        <v>9</v>
      </c>
      <c r="G180" s="2" t="s">
        <v>20</v>
      </c>
    </row>
    <row r="181" spans="1:7" x14ac:dyDescent="0.25">
      <c r="A181" s="11">
        <v>167</v>
      </c>
      <c r="B181" s="5" t="s">
        <v>232</v>
      </c>
      <c r="C181" s="11">
        <v>85828625994</v>
      </c>
      <c r="D181" s="5" t="s">
        <v>233</v>
      </c>
      <c r="E181" s="8">
        <f>8.28</f>
        <v>8.2799999999999994</v>
      </c>
      <c r="F181" s="5" t="s">
        <v>9</v>
      </c>
      <c r="G181" s="2" t="s">
        <v>228</v>
      </c>
    </row>
    <row r="182" spans="1:7" x14ac:dyDescent="0.25">
      <c r="A182" s="37">
        <v>168</v>
      </c>
      <c r="B182" s="19" t="s">
        <v>369</v>
      </c>
      <c r="C182" s="35">
        <v>13278612358</v>
      </c>
      <c r="D182" s="19" t="s">
        <v>370</v>
      </c>
      <c r="E182" s="15">
        <f>243.75+312.5+425+450+300</f>
        <v>1731.25</v>
      </c>
      <c r="F182" s="19" t="s">
        <v>9</v>
      </c>
      <c r="G182" s="25" t="s">
        <v>131</v>
      </c>
    </row>
    <row r="183" spans="1:7" x14ac:dyDescent="0.25">
      <c r="A183" s="11">
        <v>169</v>
      </c>
      <c r="B183" s="5" t="s">
        <v>702</v>
      </c>
      <c r="C183" s="11">
        <v>68001619680</v>
      </c>
      <c r="D183" s="5" t="s">
        <v>703</v>
      </c>
      <c r="E183" s="8">
        <f>111.23</f>
        <v>111.23</v>
      </c>
      <c r="F183" s="21" t="s">
        <v>9</v>
      </c>
      <c r="G183" s="2" t="s">
        <v>20</v>
      </c>
    </row>
    <row r="184" spans="1:7" x14ac:dyDescent="0.25">
      <c r="A184" s="37">
        <v>170</v>
      </c>
      <c r="B184" s="5" t="s">
        <v>265</v>
      </c>
      <c r="C184" s="11">
        <v>32371574171</v>
      </c>
      <c r="D184" s="5" t="s">
        <v>266</v>
      </c>
      <c r="E184" s="8">
        <f>375+437.5</f>
        <v>812.5</v>
      </c>
      <c r="F184" s="5" t="s">
        <v>9</v>
      </c>
      <c r="G184" s="2" t="s">
        <v>131</v>
      </c>
    </row>
    <row r="185" spans="1:7" x14ac:dyDescent="0.25">
      <c r="A185" s="11">
        <v>171</v>
      </c>
      <c r="B185" s="5" t="s">
        <v>841</v>
      </c>
      <c r="C185" s="11">
        <v>40518747839</v>
      </c>
      <c r="D185" s="5" t="s">
        <v>842</v>
      </c>
      <c r="E185" s="8">
        <f>40.21+9.25</f>
        <v>49.46</v>
      </c>
      <c r="F185" s="5" t="s">
        <v>9</v>
      </c>
      <c r="G185" s="2" t="s">
        <v>20</v>
      </c>
    </row>
    <row r="186" spans="1:7" x14ac:dyDescent="0.25">
      <c r="A186" s="37">
        <v>172</v>
      </c>
      <c r="B186" s="28" t="s">
        <v>701</v>
      </c>
      <c r="C186" s="31">
        <v>18545665005</v>
      </c>
      <c r="D186" s="28" t="s">
        <v>258</v>
      </c>
      <c r="E186" s="8">
        <f>550</f>
        <v>550</v>
      </c>
      <c r="F186" s="21" t="s">
        <v>9</v>
      </c>
      <c r="G186" s="2" t="s">
        <v>20</v>
      </c>
    </row>
    <row r="187" spans="1:7" x14ac:dyDescent="0.25">
      <c r="A187" s="11">
        <v>173</v>
      </c>
      <c r="B187" s="5" t="s">
        <v>656</v>
      </c>
      <c r="C187" s="11">
        <v>96514832734</v>
      </c>
      <c r="D187" s="5" t="s">
        <v>657</v>
      </c>
      <c r="E187" s="8">
        <f>42200+40000</f>
        <v>82200</v>
      </c>
      <c r="F187" s="5" t="s">
        <v>9</v>
      </c>
      <c r="G187" s="2" t="s">
        <v>20</v>
      </c>
    </row>
    <row r="188" spans="1:7" ht="15.75" thickBot="1" x14ac:dyDescent="0.3">
      <c r="A188" s="37">
        <v>174</v>
      </c>
      <c r="B188" s="5" t="s">
        <v>130</v>
      </c>
      <c r="C188" s="11">
        <v>49800593791</v>
      </c>
      <c r="D188" s="5" t="s">
        <v>132</v>
      </c>
      <c r="E188" s="8">
        <f>1529.5+1397.65+727.21+367+1771.83</f>
        <v>5793.1900000000005</v>
      </c>
      <c r="F188" s="5" t="s">
        <v>9</v>
      </c>
      <c r="G188" s="2" t="s">
        <v>405</v>
      </c>
    </row>
    <row r="189" spans="1:7" x14ac:dyDescent="0.25">
      <c r="A189" s="65">
        <v>175</v>
      </c>
      <c r="B189" s="67" t="s">
        <v>133</v>
      </c>
      <c r="C189" s="65">
        <v>47428597158</v>
      </c>
      <c r="D189" s="67" t="s">
        <v>135</v>
      </c>
      <c r="E189" s="16">
        <f>3050+353.21+1576.11</f>
        <v>4979.32</v>
      </c>
      <c r="F189" s="67" t="s">
        <v>9</v>
      </c>
      <c r="G189" s="26" t="s">
        <v>1075</v>
      </c>
    </row>
    <row r="190" spans="1:7" ht="15.75" thickBot="1" x14ac:dyDescent="0.3">
      <c r="A190" s="66"/>
      <c r="B190" s="68"/>
      <c r="C190" s="66"/>
      <c r="D190" s="68"/>
      <c r="E190" s="18">
        <v>1540</v>
      </c>
      <c r="F190" s="68"/>
      <c r="G190" s="27" t="s">
        <v>20</v>
      </c>
    </row>
    <row r="191" spans="1:7" x14ac:dyDescent="0.25">
      <c r="A191" s="11">
        <v>176</v>
      </c>
      <c r="B191" s="5" t="s">
        <v>137</v>
      </c>
      <c r="C191" s="12" t="s">
        <v>139</v>
      </c>
      <c r="D191" s="5" t="s">
        <v>138</v>
      </c>
      <c r="E191" s="8">
        <f>384.19</f>
        <v>384.19</v>
      </c>
      <c r="F191" s="5" t="s">
        <v>9</v>
      </c>
      <c r="G191" s="2" t="s">
        <v>70</v>
      </c>
    </row>
    <row r="192" spans="1:7" x14ac:dyDescent="0.25">
      <c r="A192" s="11">
        <v>177</v>
      </c>
      <c r="B192" s="5" t="s">
        <v>141</v>
      </c>
      <c r="C192" s="11">
        <v>63988426425</v>
      </c>
      <c r="D192" s="5" t="s">
        <v>142</v>
      </c>
      <c r="E192" s="8">
        <f>4248.44+9358.13</f>
        <v>13606.57</v>
      </c>
      <c r="F192" s="5" t="s">
        <v>9</v>
      </c>
      <c r="G192" s="2" t="s">
        <v>20</v>
      </c>
    </row>
    <row r="193" spans="1:7" x14ac:dyDescent="0.25">
      <c r="A193" s="11">
        <v>178</v>
      </c>
      <c r="B193" s="5" t="s">
        <v>968</v>
      </c>
      <c r="C193" s="11">
        <v>15429488788</v>
      </c>
      <c r="D193" s="5" t="s">
        <v>969</v>
      </c>
      <c r="E193" s="8">
        <v>961</v>
      </c>
      <c r="F193" s="5" t="s">
        <v>9</v>
      </c>
      <c r="G193" s="2" t="s">
        <v>228</v>
      </c>
    </row>
    <row r="194" spans="1:7" x14ac:dyDescent="0.25">
      <c r="A194" s="11">
        <v>179</v>
      </c>
      <c r="B194" s="5" t="s">
        <v>523</v>
      </c>
      <c r="C194" s="11">
        <v>99080771351</v>
      </c>
      <c r="D194" s="5" t="s">
        <v>524</v>
      </c>
      <c r="E194" s="8">
        <f>14.84</f>
        <v>14.84</v>
      </c>
      <c r="F194" s="5" t="s">
        <v>9</v>
      </c>
      <c r="G194" s="2" t="s">
        <v>20</v>
      </c>
    </row>
    <row r="195" spans="1:7" x14ac:dyDescent="0.25">
      <c r="A195" s="11">
        <v>180</v>
      </c>
      <c r="B195" s="5" t="s">
        <v>1076</v>
      </c>
      <c r="C195" s="12">
        <v>39643065205</v>
      </c>
      <c r="D195" s="5" t="s">
        <v>1077</v>
      </c>
      <c r="E195" s="8">
        <f>362.25</f>
        <v>362.25</v>
      </c>
      <c r="F195" s="5" t="s">
        <v>9</v>
      </c>
      <c r="G195" s="2" t="s">
        <v>20</v>
      </c>
    </row>
    <row r="196" spans="1:7" x14ac:dyDescent="0.25">
      <c r="A196" s="11">
        <v>181</v>
      </c>
      <c r="B196" s="5" t="s">
        <v>907</v>
      </c>
      <c r="C196" s="11">
        <v>38842004780</v>
      </c>
      <c r="D196" s="5" t="s">
        <v>908</v>
      </c>
      <c r="E196" s="8">
        <f>3067.5</f>
        <v>3067.5</v>
      </c>
      <c r="F196" s="5" t="s">
        <v>9</v>
      </c>
      <c r="G196" s="2" t="s">
        <v>20</v>
      </c>
    </row>
    <row r="197" spans="1:7" x14ac:dyDescent="0.25">
      <c r="A197" s="11">
        <v>182</v>
      </c>
      <c r="B197" s="5" t="s">
        <v>381</v>
      </c>
      <c r="C197" s="11">
        <v>25339023257</v>
      </c>
      <c r="D197" s="5" t="s">
        <v>382</v>
      </c>
      <c r="E197" s="8">
        <f>291.38</f>
        <v>291.38</v>
      </c>
      <c r="F197" s="5" t="s">
        <v>9</v>
      </c>
      <c r="G197" s="2" t="s">
        <v>20</v>
      </c>
    </row>
    <row r="198" spans="1:7" x14ac:dyDescent="0.25">
      <c r="A198" s="11">
        <v>183</v>
      </c>
      <c r="B198" s="5" t="s">
        <v>1078</v>
      </c>
      <c r="C198" s="11">
        <v>15533693916</v>
      </c>
      <c r="D198" s="5" t="s">
        <v>880</v>
      </c>
      <c r="E198" s="8">
        <f>1610+470</f>
        <v>2080</v>
      </c>
      <c r="F198" s="5" t="s">
        <v>9</v>
      </c>
      <c r="G198" s="2" t="s">
        <v>20</v>
      </c>
    </row>
    <row r="199" spans="1:7" x14ac:dyDescent="0.25">
      <c r="A199" s="11">
        <v>184</v>
      </c>
      <c r="B199" s="5" t="s">
        <v>711</v>
      </c>
      <c r="C199" s="12">
        <v>83910501982</v>
      </c>
      <c r="D199" s="5" t="s">
        <v>712</v>
      </c>
      <c r="E199" s="8">
        <f>53.25</f>
        <v>53.25</v>
      </c>
      <c r="F199" s="5" t="s">
        <v>9</v>
      </c>
      <c r="G199" s="2" t="s">
        <v>20</v>
      </c>
    </row>
    <row r="200" spans="1:7" x14ac:dyDescent="0.25">
      <c r="A200" s="11">
        <v>185</v>
      </c>
      <c r="B200" s="5" t="s">
        <v>1079</v>
      </c>
      <c r="C200" s="11">
        <v>99694525219</v>
      </c>
      <c r="D200" s="5" t="s">
        <v>1080</v>
      </c>
      <c r="E200" s="15">
        <f>182.4</f>
        <v>182.4</v>
      </c>
      <c r="F200" s="19" t="s">
        <v>9</v>
      </c>
      <c r="G200" s="25" t="s">
        <v>20</v>
      </c>
    </row>
    <row r="201" spans="1:7" x14ac:dyDescent="0.25">
      <c r="A201" s="11">
        <v>186</v>
      </c>
      <c r="B201" s="5" t="s">
        <v>1081</v>
      </c>
      <c r="C201" s="11">
        <v>45383977112</v>
      </c>
      <c r="D201" s="5" t="s">
        <v>1082</v>
      </c>
      <c r="E201" s="15">
        <v>130</v>
      </c>
      <c r="F201" s="19" t="s">
        <v>9</v>
      </c>
      <c r="G201" s="25" t="s">
        <v>305</v>
      </c>
    </row>
    <row r="202" spans="1:7" x14ac:dyDescent="0.25">
      <c r="A202" s="11">
        <v>187</v>
      </c>
      <c r="B202" s="5" t="s">
        <v>665</v>
      </c>
      <c r="C202" s="11">
        <v>64021574271</v>
      </c>
      <c r="D202" s="5" t="s">
        <v>666</v>
      </c>
      <c r="E202" s="8">
        <f>141.73+69.92+144.79+95.88+210.96</f>
        <v>663.28</v>
      </c>
      <c r="F202" s="5" t="s">
        <v>9</v>
      </c>
      <c r="G202" s="2" t="s">
        <v>20</v>
      </c>
    </row>
    <row r="203" spans="1:7" x14ac:dyDescent="0.25">
      <c r="A203" s="11">
        <v>188</v>
      </c>
      <c r="B203" s="5" t="s">
        <v>1083</v>
      </c>
      <c r="C203" s="12" t="s">
        <v>1084</v>
      </c>
      <c r="D203" s="5" t="s">
        <v>1085</v>
      </c>
      <c r="E203" s="8">
        <f>254.4+97.51</f>
        <v>351.91</v>
      </c>
      <c r="F203" s="5" t="s">
        <v>9</v>
      </c>
      <c r="G203" s="2" t="s">
        <v>174</v>
      </c>
    </row>
    <row r="204" spans="1:7" x14ac:dyDescent="0.25">
      <c r="A204" s="11">
        <v>189</v>
      </c>
      <c r="B204" s="5" t="s">
        <v>1086</v>
      </c>
      <c r="C204" s="11">
        <v>92839607312</v>
      </c>
      <c r="D204" s="5" t="s">
        <v>1087</v>
      </c>
      <c r="E204" s="8">
        <f>617.44</f>
        <v>617.44000000000005</v>
      </c>
      <c r="F204" s="5" t="s">
        <v>9</v>
      </c>
      <c r="G204" s="2" t="s">
        <v>20</v>
      </c>
    </row>
    <row r="205" spans="1:7" x14ac:dyDescent="0.25">
      <c r="A205" s="11">
        <v>190</v>
      </c>
      <c r="B205" s="5" t="s">
        <v>221</v>
      </c>
      <c r="C205" s="11">
        <v>76147579166</v>
      </c>
      <c r="D205" s="5" t="s">
        <v>222</v>
      </c>
      <c r="E205" s="8">
        <f>76.3+38.64+118</f>
        <v>232.94</v>
      </c>
      <c r="F205" s="5" t="s">
        <v>9</v>
      </c>
      <c r="G205" s="2" t="s">
        <v>20</v>
      </c>
    </row>
    <row r="206" spans="1:7" x14ac:dyDescent="0.25">
      <c r="A206" s="11">
        <v>191</v>
      </c>
      <c r="B206" s="5" t="s">
        <v>203</v>
      </c>
      <c r="C206" s="11">
        <v>90439696130</v>
      </c>
      <c r="D206" s="5" t="s">
        <v>204</v>
      </c>
      <c r="E206" s="8">
        <f>73.2+55.61+27.18</f>
        <v>155.99</v>
      </c>
      <c r="F206" s="5" t="s">
        <v>9</v>
      </c>
      <c r="G206" s="2" t="s">
        <v>20</v>
      </c>
    </row>
    <row r="207" spans="1:7" x14ac:dyDescent="0.25">
      <c r="A207" s="11">
        <v>192</v>
      </c>
      <c r="B207" s="5" t="s">
        <v>143</v>
      </c>
      <c r="C207" s="11">
        <v>64546066176</v>
      </c>
      <c r="D207" s="5" t="s">
        <v>144</v>
      </c>
      <c r="E207" s="8">
        <f>11.43</f>
        <v>11.43</v>
      </c>
      <c r="F207" s="5" t="s">
        <v>9</v>
      </c>
      <c r="G207" s="2" t="s">
        <v>20</v>
      </c>
    </row>
    <row r="208" spans="1:7" x14ac:dyDescent="0.25">
      <c r="A208" s="11">
        <v>193</v>
      </c>
      <c r="B208" s="63" t="s">
        <v>151</v>
      </c>
      <c r="C208" s="37">
        <v>65952859647</v>
      </c>
      <c r="D208" s="36" t="s">
        <v>152</v>
      </c>
      <c r="E208" s="8">
        <f>14595+1740+3750</f>
        <v>20085</v>
      </c>
      <c r="F208" s="63" t="s">
        <v>9</v>
      </c>
      <c r="G208" s="2" t="s">
        <v>20</v>
      </c>
    </row>
    <row r="209" spans="1:7" x14ac:dyDescent="0.25">
      <c r="A209" s="11">
        <v>194</v>
      </c>
      <c r="B209" s="28" t="s">
        <v>153</v>
      </c>
      <c r="C209" s="31">
        <v>83416546499</v>
      </c>
      <c r="D209" s="28" t="s">
        <v>156</v>
      </c>
      <c r="E209" s="17">
        <f>29.17</f>
        <v>29.17</v>
      </c>
      <c r="F209" s="28" t="s">
        <v>9</v>
      </c>
      <c r="G209" s="29" t="s">
        <v>43</v>
      </c>
    </row>
    <row r="210" spans="1:7" x14ac:dyDescent="0.25">
      <c r="A210" s="11">
        <v>195</v>
      </c>
      <c r="B210" s="5" t="s">
        <v>680</v>
      </c>
      <c r="C210" s="11">
        <v>10235187780</v>
      </c>
      <c r="D210" s="5" t="s">
        <v>681</v>
      </c>
      <c r="E210" s="8">
        <v>324.77999999999997</v>
      </c>
      <c r="F210" s="5" t="s">
        <v>9</v>
      </c>
      <c r="G210" s="2" t="s">
        <v>682</v>
      </c>
    </row>
    <row r="211" spans="1:7" x14ac:dyDescent="0.25">
      <c r="A211" s="11">
        <v>196</v>
      </c>
      <c r="B211" s="5" t="s">
        <v>661</v>
      </c>
      <c r="C211" s="11">
        <v>60314119747</v>
      </c>
      <c r="D211" s="5" t="s">
        <v>155</v>
      </c>
      <c r="E211" s="8">
        <f>15755.89+44434.05+9278.35+45490.88+10000</f>
        <v>124959.17000000001</v>
      </c>
      <c r="F211" s="5" t="s">
        <v>9</v>
      </c>
      <c r="G211" s="2" t="s">
        <v>20</v>
      </c>
    </row>
    <row r="212" spans="1:7" x14ac:dyDescent="0.25">
      <c r="A212" s="11">
        <v>197</v>
      </c>
      <c r="B212" s="5" t="s">
        <v>157</v>
      </c>
      <c r="C212" s="11" t="s">
        <v>158</v>
      </c>
      <c r="D212" s="5" t="s">
        <v>159</v>
      </c>
      <c r="E212" s="8">
        <f>700.96+987.94</f>
        <v>1688.9</v>
      </c>
      <c r="F212" s="5" t="s">
        <v>9</v>
      </c>
      <c r="G212" s="2" t="s">
        <v>20</v>
      </c>
    </row>
    <row r="213" spans="1:7" x14ac:dyDescent="0.25">
      <c r="A213" s="11">
        <v>198</v>
      </c>
      <c r="B213" s="5" t="s">
        <v>163</v>
      </c>
      <c r="C213" s="12" t="s">
        <v>165</v>
      </c>
      <c r="D213" s="5" t="s">
        <v>164</v>
      </c>
      <c r="E213" s="8">
        <f>5625</f>
        <v>5625</v>
      </c>
      <c r="F213" s="5" t="s">
        <v>9</v>
      </c>
      <c r="G213" s="2" t="s">
        <v>20</v>
      </c>
    </row>
    <row r="214" spans="1:7" x14ac:dyDescent="0.25">
      <c r="A214" s="11">
        <v>199</v>
      </c>
      <c r="B214" s="5" t="s">
        <v>166</v>
      </c>
      <c r="C214" s="11">
        <v>95243482140</v>
      </c>
      <c r="D214" s="5" t="s">
        <v>167</v>
      </c>
      <c r="E214" s="8">
        <f>164.98+208.49+203.78+96.05+299.79+73.99</f>
        <v>1047.08</v>
      </c>
      <c r="F214" s="5" t="s">
        <v>9</v>
      </c>
      <c r="G214" s="2" t="s">
        <v>20</v>
      </c>
    </row>
    <row r="215" spans="1:7" x14ac:dyDescent="0.25">
      <c r="A215" s="11">
        <v>200</v>
      </c>
      <c r="B215" s="5" t="s">
        <v>169</v>
      </c>
      <c r="C215" s="11">
        <v>98656691838</v>
      </c>
      <c r="D215" s="5" t="s">
        <v>170</v>
      </c>
      <c r="E215" s="8">
        <f>2975+3166.25</f>
        <v>6141.25</v>
      </c>
      <c r="F215" s="5" t="s">
        <v>9</v>
      </c>
      <c r="G215" s="2" t="s">
        <v>20</v>
      </c>
    </row>
    <row r="216" spans="1:7" x14ac:dyDescent="0.25">
      <c r="A216" s="11">
        <v>201</v>
      </c>
      <c r="B216" s="5" t="s">
        <v>171</v>
      </c>
      <c r="C216" s="11">
        <v>15907062900</v>
      </c>
      <c r="D216" s="5" t="s">
        <v>173</v>
      </c>
      <c r="E216" s="8">
        <v>8160.53</v>
      </c>
      <c r="F216" s="5" t="s">
        <v>9</v>
      </c>
      <c r="G216" s="2" t="s">
        <v>172</v>
      </c>
    </row>
    <row r="217" spans="1:7" x14ac:dyDescent="0.25">
      <c r="A217" s="11">
        <v>202</v>
      </c>
      <c r="B217" s="5" t="s">
        <v>175</v>
      </c>
      <c r="C217" s="11">
        <v>97994010225</v>
      </c>
      <c r="D217" s="5" t="s">
        <v>176</v>
      </c>
      <c r="E217" s="8">
        <f>79.2+36.86+178.13</f>
        <v>294.19</v>
      </c>
      <c r="F217" s="5" t="s">
        <v>9</v>
      </c>
      <c r="G217" s="2" t="s">
        <v>20</v>
      </c>
    </row>
    <row r="218" spans="1:7" x14ac:dyDescent="0.25">
      <c r="A218" s="11">
        <v>203</v>
      </c>
      <c r="B218" s="5" t="s">
        <v>179</v>
      </c>
      <c r="C218" s="11">
        <v>78969071801</v>
      </c>
      <c r="D218" s="5" t="s">
        <v>180</v>
      </c>
      <c r="E218" s="8">
        <f>997.39+6000+2242.96+1003.13+539.44</f>
        <v>10782.92</v>
      </c>
      <c r="F218" s="5" t="s">
        <v>9</v>
      </c>
      <c r="G218" s="2" t="s">
        <v>20</v>
      </c>
    </row>
    <row r="219" spans="1:7" x14ac:dyDescent="0.25">
      <c r="A219" s="11">
        <v>204</v>
      </c>
      <c r="B219" s="19" t="s">
        <v>673</v>
      </c>
      <c r="C219" s="30">
        <v>48633701387</v>
      </c>
      <c r="D219" s="19" t="s">
        <v>674</v>
      </c>
      <c r="E219" s="15">
        <f>38.79</f>
        <v>38.79</v>
      </c>
      <c r="F219" s="19" t="s">
        <v>9</v>
      </c>
      <c r="G219" s="25" t="s">
        <v>20</v>
      </c>
    </row>
    <row r="220" spans="1:7" x14ac:dyDescent="0.25">
      <c r="A220" s="11">
        <v>205</v>
      </c>
      <c r="B220" s="36" t="s">
        <v>188</v>
      </c>
      <c r="C220" s="37">
        <v>48249084626</v>
      </c>
      <c r="D220" s="36" t="s">
        <v>189</v>
      </c>
      <c r="E220" s="8">
        <f>261.31+175.16+159.5+167.24+133.23+68.66</f>
        <v>965.1</v>
      </c>
      <c r="F220" s="36" t="s">
        <v>9</v>
      </c>
      <c r="G220" s="2" t="s">
        <v>20</v>
      </c>
    </row>
    <row r="221" spans="1:7" x14ac:dyDescent="0.25">
      <c r="A221" s="11">
        <v>206</v>
      </c>
      <c r="B221" s="5" t="s">
        <v>190</v>
      </c>
      <c r="C221" s="11">
        <v>26901839603</v>
      </c>
      <c r="D221" s="5" t="s">
        <v>191</v>
      </c>
      <c r="E221" s="8">
        <f>17.55+25.57+141.75</f>
        <v>184.87</v>
      </c>
      <c r="F221" s="5" t="s">
        <v>9</v>
      </c>
      <c r="G221" s="2" t="s">
        <v>20</v>
      </c>
    </row>
    <row r="222" spans="1:7" x14ac:dyDescent="0.25">
      <c r="A222" s="11">
        <v>207</v>
      </c>
      <c r="B222" s="5" t="s">
        <v>196</v>
      </c>
      <c r="C222" s="11">
        <v>60365429880</v>
      </c>
      <c r="D222" s="5" t="s">
        <v>197</v>
      </c>
      <c r="E222" s="8">
        <f>100.06+83.25+171.79+163.1</f>
        <v>518.20000000000005</v>
      </c>
      <c r="F222" s="5" t="s">
        <v>9</v>
      </c>
      <c r="G222" s="2" t="s">
        <v>20</v>
      </c>
    </row>
    <row r="223" spans="1:7" x14ac:dyDescent="0.25">
      <c r="A223" s="11">
        <v>208</v>
      </c>
      <c r="B223" s="36" t="s">
        <v>201</v>
      </c>
      <c r="C223" s="37">
        <v>37879152548</v>
      </c>
      <c r="D223" s="36" t="s">
        <v>202</v>
      </c>
      <c r="E223" s="8">
        <f>1002.9+817.5</f>
        <v>1820.4</v>
      </c>
      <c r="F223" s="36" t="s">
        <v>9</v>
      </c>
      <c r="G223" s="2" t="s">
        <v>20</v>
      </c>
    </row>
    <row r="224" spans="1:7" x14ac:dyDescent="0.25">
      <c r="A224" s="11">
        <v>209</v>
      </c>
      <c r="B224" s="28" t="s">
        <v>234</v>
      </c>
      <c r="C224" s="31">
        <v>64008199572</v>
      </c>
      <c r="D224" s="28" t="s">
        <v>235</v>
      </c>
      <c r="E224" s="17">
        <f>180.44+14.38+103.1+50.63</f>
        <v>348.54999999999995</v>
      </c>
      <c r="F224" s="28" t="s">
        <v>9</v>
      </c>
      <c r="G224" s="29" t="s">
        <v>20</v>
      </c>
    </row>
    <row r="225" spans="1:7" x14ac:dyDescent="0.25">
      <c r="A225" s="11">
        <v>210</v>
      </c>
      <c r="B225" s="5" t="s">
        <v>205</v>
      </c>
      <c r="C225" s="11">
        <v>39048902955</v>
      </c>
      <c r="D225" s="5" t="s">
        <v>206</v>
      </c>
      <c r="E225" s="8">
        <v>623.76</v>
      </c>
      <c r="F225" s="5" t="s">
        <v>9</v>
      </c>
      <c r="G225" s="2" t="s">
        <v>43</v>
      </c>
    </row>
    <row r="226" spans="1:7" x14ac:dyDescent="0.25">
      <c r="A226" s="11">
        <v>211</v>
      </c>
      <c r="B226" s="5" t="s">
        <v>207</v>
      </c>
      <c r="C226" s="11">
        <v>85375838060</v>
      </c>
      <c r="D226" s="5" t="s">
        <v>208</v>
      </c>
      <c r="E226" s="8">
        <f>314.05+71.38</f>
        <v>385.43</v>
      </c>
      <c r="F226" s="5" t="s">
        <v>9</v>
      </c>
      <c r="G226" s="2" t="s">
        <v>43</v>
      </c>
    </row>
    <row r="227" spans="1:7" x14ac:dyDescent="0.25">
      <c r="A227" s="11">
        <v>212</v>
      </c>
      <c r="B227" s="5" t="s">
        <v>209</v>
      </c>
      <c r="C227" s="11">
        <v>55614719992</v>
      </c>
      <c r="D227" s="5" t="s">
        <v>210</v>
      </c>
      <c r="E227" s="8">
        <f>324.21+485.28+415.95+582.49+1383.83+161.16</f>
        <v>3352.92</v>
      </c>
      <c r="F227" s="5" t="s">
        <v>9</v>
      </c>
      <c r="G227" s="2" t="s">
        <v>20</v>
      </c>
    </row>
    <row r="228" spans="1:7" x14ac:dyDescent="0.25">
      <c r="A228" s="11">
        <v>213</v>
      </c>
      <c r="B228" s="5" t="s">
        <v>211</v>
      </c>
      <c r="C228" s="11">
        <v>95325472047</v>
      </c>
      <c r="D228" s="5" t="s">
        <v>212</v>
      </c>
      <c r="E228" s="8">
        <f>278.94</f>
        <v>278.94</v>
      </c>
      <c r="F228" s="5" t="s">
        <v>9</v>
      </c>
      <c r="G228" s="2" t="s">
        <v>20</v>
      </c>
    </row>
    <row r="229" spans="1:7" x14ac:dyDescent="0.25">
      <c r="A229" s="11">
        <v>214</v>
      </c>
      <c r="B229" s="5" t="s">
        <v>215</v>
      </c>
      <c r="C229" s="11">
        <v>110752628</v>
      </c>
      <c r="D229" s="5" t="s">
        <v>218</v>
      </c>
      <c r="E229" s="8">
        <f>459.2+23109.65+3049.25</f>
        <v>26618.100000000002</v>
      </c>
      <c r="F229" s="5" t="s">
        <v>9</v>
      </c>
      <c r="G229" s="2" t="s">
        <v>20</v>
      </c>
    </row>
    <row r="230" spans="1:7" x14ac:dyDescent="0.25">
      <c r="A230" s="11">
        <v>215</v>
      </c>
      <c r="B230" s="5" t="s">
        <v>216</v>
      </c>
      <c r="C230" s="11">
        <v>85611744662</v>
      </c>
      <c r="D230" s="5" t="s">
        <v>217</v>
      </c>
      <c r="E230" s="8">
        <f>308.25+1008.43+206.25</f>
        <v>1522.9299999999998</v>
      </c>
      <c r="F230" s="5" t="s">
        <v>9</v>
      </c>
      <c r="G230" s="2" t="s">
        <v>20</v>
      </c>
    </row>
    <row r="231" spans="1:7" x14ac:dyDescent="0.25">
      <c r="A231" s="11">
        <v>216</v>
      </c>
      <c r="B231" s="5" t="s">
        <v>261</v>
      </c>
      <c r="C231" s="11">
        <v>79378753915</v>
      </c>
      <c r="D231" s="5" t="s">
        <v>262</v>
      </c>
      <c r="E231" s="8">
        <v>771.88</v>
      </c>
      <c r="F231" s="5" t="s">
        <v>9</v>
      </c>
      <c r="G231" s="2" t="s">
        <v>20</v>
      </c>
    </row>
    <row r="232" spans="1:7" x14ac:dyDescent="0.25">
      <c r="A232" s="11">
        <v>217</v>
      </c>
      <c r="B232" s="5" t="s">
        <v>651</v>
      </c>
      <c r="C232" s="12" t="s">
        <v>652</v>
      </c>
      <c r="D232" s="5" t="s">
        <v>653</v>
      </c>
      <c r="E232" s="8">
        <f>2460+1412.5+1330+1096.88</f>
        <v>6299.38</v>
      </c>
      <c r="F232" s="5" t="s">
        <v>9</v>
      </c>
      <c r="G232" s="2" t="s">
        <v>20</v>
      </c>
    </row>
    <row r="233" spans="1:7" x14ac:dyDescent="0.25">
      <c r="A233" s="11">
        <v>218</v>
      </c>
      <c r="B233" s="5" t="s">
        <v>219</v>
      </c>
      <c r="C233" s="11">
        <v>53785632625</v>
      </c>
      <c r="D233" s="5" t="s">
        <v>220</v>
      </c>
      <c r="E233" s="8">
        <f>932.05+81.88</f>
        <v>1013.93</v>
      </c>
      <c r="F233" s="5" t="s">
        <v>9</v>
      </c>
      <c r="G233" s="2" t="s">
        <v>20</v>
      </c>
    </row>
    <row r="234" spans="1:7" x14ac:dyDescent="0.25">
      <c r="A234" s="11">
        <v>219</v>
      </c>
      <c r="B234" s="5" t="s">
        <v>223</v>
      </c>
      <c r="C234" s="11">
        <v>48841983787</v>
      </c>
      <c r="D234" s="5" t="s">
        <v>224</v>
      </c>
      <c r="E234" s="8">
        <f>523+2350+1474.13+240+480+950</f>
        <v>6017.13</v>
      </c>
      <c r="F234" s="5" t="s">
        <v>9</v>
      </c>
      <c r="G234" s="2" t="s">
        <v>20</v>
      </c>
    </row>
    <row r="235" spans="1:7" x14ac:dyDescent="0.25">
      <c r="A235" s="11">
        <v>220</v>
      </c>
      <c r="B235" s="5" t="s">
        <v>1088</v>
      </c>
      <c r="C235" s="11" t="s">
        <v>1089</v>
      </c>
      <c r="D235" s="5" t="s">
        <v>1090</v>
      </c>
      <c r="E235" s="8">
        <v>325.39999999999998</v>
      </c>
      <c r="F235" s="5" t="s">
        <v>9</v>
      </c>
      <c r="G235" s="2" t="s">
        <v>20</v>
      </c>
    </row>
    <row r="236" spans="1:7" x14ac:dyDescent="0.25">
      <c r="A236" s="11">
        <v>221</v>
      </c>
      <c r="B236" s="5" t="s">
        <v>418</v>
      </c>
      <c r="C236" s="11" t="s">
        <v>419</v>
      </c>
      <c r="D236" s="5" t="s">
        <v>420</v>
      </c>
      <c r="E236" s="8">
        <v>5378</v>
      </c>
      <c r="F236" s="5" t="s">
        <v>9</v>
      </c>
      <c r="G236" s="2" t="s">
        <v>20</v>
      </c>
    </row>
    <row r="237" spans="1:7" x14ac:dyDescent="0.25">
      <c r="A237" s="11">
        <v>222</v>
      </c>
      <c r="B237" s="28" t="s">
        <v>359</v>
      </c>
      <c r="C237" s="31">
        <v>98164456048</v>
      </c>
      <c r="D237" s="28" t="s">
        <v>360</v>
      </c>
      <c r="E237" s="17">
        <f>1624.95</f>
        <v>1624.95</v>
      </c>
      <c r="F237" s="28" t="s">
        <v>9</v>
      </c>
      <c r="G237" s="29" t="s">
        <v>104</v>
      </c>
    </row>
    <row r="238" spans="1:7" x14ac:dyDescent="0.25">
      <c r="A238" s="11">
        <v>223</v>
      </c>
      <c r="B238" s="5" t="s">
        <v>767</v>
      </c>
      <c r="C238" s="12" t="s">
        <v>768</v>
      </c>
      <c r="D238" s="5" t="s">
        <v>769</v>
      </c>
      <c r="E238" s="8">
        <v>194.99</v>
      </c>
      <c r="F238" s="5" t="s">
        <v>9</v>
      </c>
      <c r="G238" s="2" t="s">
        <v>305</v>
      </c>
    </row>
    <row r="239" spans="1:7" x14ac:dyDescent="0.25">
      <c r="A239" s="11">
        <v>224</v>
      </c>
      <c r="B239" s="5" t="s">
        <v>240</v>
      </c>
      <c r="C239" s="11">
        <v>54661026138</v>
      </c>
      <c r="D239" s="5" t="s">
        <v>241</v>
      </c>
      <c r="E239" s="8">
        <f>81.75+45.7+109.88+603.45+51.6</f>
        <v>892.38</v>
      </c>
      <c r="F239" s="5" t="s">
        <v>9</v>
      </c>
      <c r="G239" s="2" t="s">
        <v>20</v>
      </c>
    </row>
    <row r="240" spans="1:7" x14ac:dyDescent="0.25">
      <c r="A240" s="11">
        <v>225</v>
      </c>
      <c r="B240" s="5" t="s">
        <v>1091</v>
      </c>
      <c r="C240" s="11">
        <v>62738155272</v>
      </c>
      <c r="D240" s="5" t="s">
        <v>1092</v>
      </c>
      <c r="E240" s="8">
        <v>15.46</v>
      </c>
      <c r="F240" s="5" t="s">
        <v>9</v>
      </c>
      <c r="G240" s="2" t="s">
        <v>20</v>
      </c>
    </row>
    <row r="241" spans="1:7" x14ac:dyDescent="0.25">
      <c r="A241" s="11">
        <v>226</v>
      </c>
      <c r="B241" s="5" t="s">
        <v>251</v>
      </c>
      <c r="C241" s="11">
        <v>54482179263</v>
      </c>
      <c r="D241" s="5" t="s">
        <v>252</v>
      </c>
      <c r="E241" s="8">
        <f>46.96+188.71</f>
        <v>235.67000000000002</v>
      </c>
      <c r="F241" s="5" t="s">
        <v>9</v>
      </c>
      <c r="G241" s="2" t="s">
        <v>20</v>
      </c>
    </row>
    <row r="242" spans="1:7" x14ac:dyDescent="0.25">
      <c r="A242" s="11">
        <v>227</v>
      </c>
      <c r="B242" s="5" t="s">
        <v>253</v>
      </c>
      <c r="C242" s="11">
        <v>79506290597</v>
      </c>
      <c r="D242" s="5" t="s">
        <v>255</v>
      </c>
      <c r="E242" s="8">
        <v>93.75</v>
      </c>
      <c r="F242" s="5" t="s">
        <v>9</v>
      </c>
      <c r="G242" s="2" t="s">
        <v>254</v>
      </c>
    </row>
    <row r="243" spans="1:7" x14ac:dyDescent="0.25">
      <c r="A243" s="11">
        <v>228</v>
      </c>
      <c r="B243" s="5" t="s">
        <v>236</v>
      </c>
      <c r="C243" s="11">
        <v>83157399243</v>
      </c>
      <c r="D243" s="5" t="s">
        <v>237</v>
      </c>
      <c r="E243" s="8">
        <f>87.5+87.5+120</f>
        <v>295</v>
      </c>
      <c r="F243" s="5" t="s">
        <v>9</v>
      </c>
      <c r="G243" s="2" t="s">
        <v>20</v>
      </c>
    </row>
    <row r="244" spans="1:7" x14ac:dyDescent="0.25">
      <c r="A244" s="11">
        <v>229</v>
      </c>
      <c r="B244" s="36" t="s">
        <v>410</v>
      </c>
      <c r="C244" s="37">
        <v>80653493587</v>
      </c>
      <c r="D244" s="36" t="s">
        <v>411</v>
      </c>
      <c r="E244" s="8">
        <v>742.5</v>
      </c>
      <c r="F244" s="5" t="s">
        <v>9</v>
      </c>
      <c r="G244" s="2" t="s">
        <v>20</v>
      </c>
    </row>
    <row r="245" spans="1:7" x14ac:dyDescent="0.25">
      <c r="A245" s="11">
        <v>230</v>
      </c>
      <c r="B245" s="5" t="s">
        <v>269</v>
      </c>
      <c r="C245" s="11">
        <v>75202805533</v>
      </c>
      <c r="D245" s="5" t="s">
        <v>274</v>
      </c>
      <c r="E245" s="8">
        <f>2.88</f>
        <v>2.88</v>
      </c>
      <c r="F245" s="5" t="s">
        <v>9</v>
      </c>
      <c r="G245" s="2" t="s">
        <v>20</v>
      </c>
    </row>
    <row r="246" spans="1:7" x14ac:dyDescent="0.25">
      <c r="A246" s="11">
        <v>231</v>
      </c>
      <c r="B246" s="5" t="s">
        <v>709</v>
      </c>
      <c r="C246" s="12">
        <v>15140147538</v>
      </c>
      <c r="D246" s="5" t="s">
        <v>710</v>
      </c>
      <c r="E246" s="8">
        <f>1520+4000+5000+512.5+1170+1592.5</f>
        <v>13795</v>
      </c>
      <c r="F246" s="5" t="s">
        <v>9</v>
      </c>
      <c r="G246" s="2" t="s">
        <v>20</v>
      </c>
    </row>
    <row r="247" spans="1:7" ht="6.75" customHeight="1" x14ac:dyDescent="0.25">
      <c r="A247" s="11"/>
      <c r="B247" s="5"/>
      <c r="C247" s="11"/>
      <c r="D247" s="5"/>
      <c r="E247" s="8"/>
      <c r="F247" s="5"/>
      <c r="G247" s="2"/>
    </row>
    <row r="248" spans="1:7" x14ac:dyDescent="0.25">
      <c r="A248" s="10"/>
      <c r="B248" s="1"/>
      <c r="C248" s="10"/>
      <c r="D248" s="1"/>
      <c r="E248" s="13"/>
      <c r="F248" s="1"/>
      <c r="G248" s="1"/>
    </row>
    <row r="249" spans="1:7" x14ac:dyDescent="0.25">
      <c r="A249" s="10"/>
      <c r="B249" s="1"/>
      <c r="C249" s="10"/>
      <c r="D249" s="39" t="s">
        <v>1093</v>
      </c>
      <c r="E249" s="38">
        <f>SUM(E11:E247)</f>
        <v>2861896.3599999975</v>
      </c>
      <c r="F249" s="1"/>
      <c r="G249" s="1"/>
    </row>
    <row r="250" spans="1:7" x14ac:dyDescent="0.25">
      <c r="A250" s="10"/>
      <c r="B250" s="1"/>
      <c r="C250" s="10"/>
      <c r="D250" s="1"/>
      <c r="E250" s="13"/>
      <c r="F250" s="1"/>
      <c r="G250" s="1"/>
    </row>
  </sheetData>
  <sheetProtection algorithmName="SHA-512" hashValue="TgtEhehp92H87Uvoxl555LF676th/QI2L7S3S6NNwpOKmoksrS1AOkMwlm3s3iHLDyiIJpnmfTaHNzav5Z+Jrw==" saltValue="PBogAdIYka0MBzisNm2OUw==" spinCount="100000" sheet="1" objects="1" scenarios="1" selectLockedCells="1" autoFilter="0" selectUnlockedCells="1"/>
  <autoFilter ref="A10:G246" xr:uid="{110E234E-72CC-4D0A-BD99-4CCCFDED7B11}"/>
  <mergeCells count="28">
    <mergeCell ref="A6:B6"/>
    <mergeCell ref="A7:B7"/>
    <mergeCell ref="C8:F8"/>
    <mergeCell ref="A30:A31"/>
    <mergeCell ref="B30:B31"/>
    <mergeCell ref="C30:C31"/>
    <mergeCell ref="D30:D31"/>
    <mergeCell ref="F30:F31"/>
    <mergeCell ref="A38:A39"/>
    <mergeCell ref="B38:B39"/>
    <mergeCell ref="C38:C39"/>
    <mergeCell ref="D38:D39"/>
    <mergeCell ref="F38:F39"/>
    <mergeCell ref="A36:A37"/>
    <mergeCell ref="B36:B37"/>
    <mergeCell ref="C36:C37"/>
    <mergeCell ref="D36:D37"/>
    <mergeCell ref="F36:F37"/>
    <mergeCell ref="A189:A190"/>
    <mergeCell ref="B189:B190"/>
    <mergeCell ref="C189:C190"/>
    <mergeCell ref="D189:D190"/>
    <mergeCell ref="F189:F190"/>
    <mergeCell ref="A49:A50"/>
    <mergeCell ref="B49:B50"/>
    <mergeCell ref="C49:C50"/>
    <mergeCell ref="D49:D50"/>
    <mergeCell ref="F49:F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012026</vt:lpstr>
      <vt:lpstr>022026</vt:lpstr>
      <vt:lpstr>032026</vt:lpstr>
      <vt:lpstr>042026</vt:lpstr>
      <vt:lpstr>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2026-06-17T12:43:05Z</dcterms:modified>
</cp:coreProperties>
</file>